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9404" windowHeight="8676"/>
  </bookViews>
  <sheets>
    <sheet name="Introduction" sheetId="4" r:id="rId1"/>
    <sheet name="Feed Analysis" sheetId="3" r:id="rId2"/>
    <sheet name="Balance the Ration" sheetId="1" r:id="rId3"/>
    <sheet name="Nutrient Requirements" sheetId="2" r:id="rId4"/>
  </sheets>
  <calcPr calcId="145621"/>
</workbook>
</file>

<file path=xl/calcChain.xml><?xml version="1.0" encoding="utf-8"?>
<calcChain xmlns="http://schemas.openxmlformats.org/spreadsheetml/2006/main">
  <c r="C35" i="1" l="1"/>
  <c r="B15" i="2"/>
  <c r="B14" i="2"/>
  <c r="B13" i="2"/>
  <c r="B12" i="2"/>
  <c r="B33" i="1" l="1"/>
  <c r="B60" i="1"/>
  <c r="B59" i="1"/>
  <c r="B58" i="1"/>
  <c r="B20" i="1"/>
  <c r="B19" i="1"/>
  <c r="B18" i="1"/>
  <c r="B17" i="1"/>
  <c r="B16" i="1"/>
  <c r="B15" i="1"/>
  <c r="B12" i="1"/>
  <c r="B13" i="1"/>
  <c r="B14" i="1"/>
  <c r="B75" i="1"/>
  <c r="C33" i="1"/>
  <c r="A104" i="1"/>
  <c r="A103" i="1"/>
  <c r="A102" i="1"/>
  <c r="B103" i="1"/>
  <c r="C60" i="1" s="1"/>
  <c r="B102" i="1"/>
  <c r="C59" i="1" s="1"/>
  <c r="B89" i="1"/>
  <c r="B88" i="1"/>
  <c r="B76" i="1"/>
  <c r="A77" i="1"/>
  <c r="J77" i="1" s="1"/>
  <c r="A76" i="1"/>
  <c r="L76" i="1" s="1"/>
  <c r="A75" i="1"/>
  <c r="L75" i="1" s="1"/>
  <c r="A90" i="1"/>
  <c r="A89" i="1"/>
  <c r="A88" i="1"/>
  <c r="D76" i="1" l="1"/>
  <c r="C76" i="1" s="1"/>
  <c r="G76" i="1"/>
  <c r="I76" i="1"/>
  <c r="E76" i="1"/>
  <c r="F76" i="1"/>
  <c r="H76" i="1"/>
  <c r="J76" i="1"/>
  <c r="J89" i="1" s="1"/>
  <c r="K76" i="1"/>
  <c r="D75" i="1"/>
  <c r="C75" i="1" s="1"/>
  <c r="I75" i="1"/>
  <c r="I102" i="1" s="1"/>
  <c r="E75" i="1"/>
  <c r="F75" i="1"/>
  <c r="J75" i="1"/>
  <c r="G75" i="1"/>
  <c r="H75" i="1"/>
  <c r="K75" i="1"/>
  <c r="K77" i="1"/>
  <c r="F77" i="1"/>
  <c r="L77" i="1"/>
  <c r="D77" i="1"/>
  <c r="G77" i="1"/>
  <c r="E77" i="1"/>
  <c r="H77" i="1"/>
  <c r="I77" i="1"/>
  <c r="I90" i="1" s="1"/>
  <c r="B23" i="1"/>
  <c r="C103" i="1" l="1"/>
  <c r="D60" i="1" s="1"/>
  <c r="C89" i="1"/>
  <c r="C88" i="1"/>
  <c r="I104" i="1"/>
  <c r="J103" i="1"/>
  <c r="I88" i="1"/>
  <c r="D88" i="1"/>
  <c r="D102" i="1"/>
  <c r="H90" i="1"/>
  <c r="H104" i="1"/>
  <c r="K88" i="1"/>
  <c r="K102" i="1"/>
  <c r="G104" i="1"/>
  <c r="G90" i="1"/>
  <c r="H103" i="1"/>
  <c r="H89" i="1"/>
  <c r="G88" i="1"/>
  <c r="G102" i="1"/>
  <c r="E104" i="1"/>
  <c r="E90" i="1"/>
  <c r="L103" i="1"/>
  <c r="L89" i="1"/>
  <c r="J88" i="1"/>
  <c r="J102" i="1"/>
  <c r="L90" i="1"/>
  <c r="L104" i="1"/>
  <c r="I89" i="1"/>
  <c r="I103" i="1"/>
  <c r="D89" i="1"/>
  <c r="D103" i="1"/>
  <c r="E88" i="1"/>
  <c r="E102" i="1"/>
  <c r="G89" i="1"/>
  <c r="G103" i="1"/>
  <c r="F104" i="1"/>
  <c r="F90" i="1"/>
  <c r="K89" i="1"/>
  <c r="K103" i="1"/>
  <c r="K90" i="1"/>
  <c r="K104" i="1"/>
  <c r="L102" i="1"/>
  <c r="L88" i="1"/>
  <c r="F89" i="1"/>
  <c r="F103" i="1"/>
  <c r="D90" i="1"/>
  <c r="D104" i="1"/>
  <c r="F88" i="1"/>
  <c r="F102" i="1"/>
  <c r="H102" i="1"/>
  <c r="H88" i="1"/>
  <c r="E89" i="1"/>
  <c r="E103" i="1"/>
  <c r="J90" i="1"/>
  <c r="J104" i="1"/>
  <c r="B24" i="1"/>
  <c r="B25" i="1" s="1"/>
  <c r="D37" i="1"/>
  <c r="D48" i="1" s="1"/>
  <c r="C37" i="1" l="1"/>
  <c r="C77" i="1" s="1"/>
  <c r="C78" i="1" s="1"/>
  <c r="D78" i="1" s="1"/>
  <c r="B26" i="1"/>
  <c r="B27" i="1" s="1"/>
  <c r="B28" i="1" s="1"/>
  <c r="C102" i="1"/>
  <c r="D59" i="1" s="1"/>
  <c r="D43" i="1"/>
  <c r="D54" i="1" s="1"/>
  <c r="D39" i="1"/>
  <c r="D50" i="1" s="1"/>
  <c r="D38" i="1"/>
  <c r="D49" i="1" s="1"/>
  <c r="D42" i="1"/>
  <c r="D53" i="1" s="1"/>
  <c r="D41" i="1"/>
  <c r="D52" i="1" s="1"/>
  <c r="D40" i="1"/>
  <c r="D51" i="1" s="1"/>
  <c r="C42" i="1" l="1"/>
  <c r="E42" i="1" s="1"/>
  <c r="C40" i="1"/>
  <c r="E40" i="1" s="1"/>
  <c r="C41" i="1"/>
  <c r="E41" i="1" s="1"/>
  <c r="C39" i="1"/>
  <c r="E39" i="1" s="1"/>
  <c r="C38" i="1"/>
  <c r="E38" i="1" s="1"/>
  <c r="C43" i="1"/>
  <c r="E43" i="1"/>
  <c r="E37" i="1"/>
  <c r="B77" i="1" l="1"/>
  <c r="B78" i="1" s="1"/>
  <c r="E78" i="1" l="1"/>
  <c r="F78" i="1"/>
  <c r="L78" i="1"/>
  <c r="H78" i="1"/>
  <c r="G78" i="1"/>
  <c r="B80" i="1" s="1"/>
  <c r="B81" i="1" s="1"/>
  <c r="I78" i="1"/>
  <c r="K78" i="1"/>
  <c r="J78" i="1"/>
  <c r="B82" i="1" l="1"/>
  <c r="B83" i="1" s="1"/>
  <c r="B84" i="1" s="1"/>
  <c r="C92" i="1" s="1"/>
  <c r="C90" i="1" s="1"/>
  <c r="B90" i="1" s="1"/>
  <c r="B92" i="1" s="1"/>
  <c r="E92" i="1" l="1"/>
  <c r="J92" i="1"/>
  <c r="L92" i="1"/>
  <c r="B54" i="1" s="1"/>
  <c r="H92" i="1"/>
  <c r="I92" i="1"/>
  <c r="D92" i="1"/>
  <c r="K92" i="1"/>
  <c r="G92" i="1"/>
  <c r="B94" i="1" s="1"/>
  <c r="B95" i="1" s="1"/>
  <c r="F92" i="1"/>
  <c r="B96" i="1" l="1"/>
  <c r="B97" i="1" s="1"/>
  <c r="B98" i="1" s="1"/>
  <c r="C106" i="1" s="1"/>
  <c r="C48" i="1" s="1"/>
  <c r="E48" i="1" l="1"/>
  <c r="C104" i="1"/>
  <c r="B104" i="1" s="1"/>
  <c r="E106" i="1" l="1"/>
  <c r="C50" i="1" s="1"/>
  <c r="E50" i="1" s="1"/>
  <c r="D58" i="1"/>
  <c r="D61" i="1" s="1"/>
  <c r="H106" i="1"/>
  <c r="J106" i="1"/>
  <c r="K106" i="1"/>
  <c r="F106" i="1"/>
  <c r="I106" i="1"/>
  <c r="D106" i="1"/>
  <c r="G106" i="1"/>
  <c r="B108" i="1" s="1"/>
  <c r="B109" i="1" s="1"/>
  <c r="L106" i="1"/>
  <c r="C54" i="1" s="1"/>
  <c r="E54" i="1" s="1"/>
  <c r="B64" i="1" l="1"/>
  <c r="B50" i="1"/>
  <c r="B106" i="1"/>
  <c r="C58" i="1"/>
  <c r="C61" i="1" s="1"/>
  <c r="C52" i="1"/>
  <c r="E52" i="1" s="1"/>
  <c r="B52" i="1"/>
  <c r="C51" i="1"/>
  <c r="E51" i="1" s="1"/>
  <c r="B51" i="1"/>
  <c r="C49" i="1"/>
  <c r="E49" i="1" s="1"/>
  <c r="B49" i="1"/>
  <c r="C53" i="1"/>
  <c r="E53" i="1" s="1"/>
  <c r="B53" i="1"/>
  <c r="B110" i="1"/>
  <c r="B111" i="1" s="1"/>
  <c r="B65" i="1" s="1"/>
  <c r="B112" i="1" l="1"/>
  <c r="B66" i="1" s="1"/>
</calcChain>
</file>

<file path=xl/comments1.xml><?xml version="1.0" encoding="utf-8"?>
<comments xmlns="http://schemas.openxmlformats.org/spreadsheetml/2006/main">
  <authors>
    <author>Edward Barrow Rayburn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Ed Rayburn
WVU Extension Specialist
304-293-2654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Edward Barrow Rayburn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Enter cow weight in lbs.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Use the pull down menu to select the cow's production stage.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Use the pull down menu to select the hay to be fed.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Enter the hay or commercial supplement that is to be used to meet the animals needs.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A second supplement can be entered here. Consider using one protein supplement and one energy supplement.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DMI is NRC's estimate while nutrients are NRC requirements.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Negative values indicate that the nutrient intake is inadequate.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DMI greater than the NRC indicated intake is common on good quality forage and supplemented rations.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Estimated DMI used in the 3rd calculation of ration and nutrient intake.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If DMI is negative the animal may eat more of the base feed if it is available increasing overall nutrient intake beyond what is estimated.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Minerals that are inadequate can and should be supplied by a quality mineral supplement.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Ration DMI based on final ration after 3 iterations. 
If greater than estimated DMI this ration should be consumed at the expected rate.</t>
        </r>
      </text>
    </comment>
  </commentList>
</comments>
</file>

<file path=xl/sharedStrings.xml><?xml version="1.0" encoding="utf-8"?>
<sst xmlns="http://schemas.openxmlformats.org/spreadsheetml/2006/main" count="194" uniqueCount="111">
  <si>
    <t>CP</t>
  </si>
  <si>
    <t>TDN</t>
  </si>
  <si>
    <t>Ca</t>
  </si>
  <si>
    <t>P</t>
  </si>
  <si>
    <t>Mg</t>
  </si>
  <si>
    <t>NDF</t>
  </si>
  <si>
    <t>ADF</t>
  </si>
  <si>
    <t>DM</t>
  </si>
  <si>
    <t>Hay Lot ID</t>
  </si>
  <si>
    <t>West HF</t>
  </si>
  <si>
    <t>North HF</t>
  </si>
  <si>
    <t>South HF</t>
  </si>
  <si>
    <t>Back field S</t>
  </si>
  <si>
    <t>Back field M</t>
  </si>
  <si>
    <t>Back field N</t>
  </si>
  <si>
    <t>S</t>
  </si>
  <si>
    <t>Va bluestem hay</t>
  </si>
  <si>
    <t>a. 1st Trimester</t>
  </si>
  <si>
    <t>b. 2nd Trimester</t>
  </si>
  <si>
    <t>c. 3rd Trimester</t>
  </si>
  <si>
    <t>d. Early Lactation, avg milk</t>
  </si>
  <si>
    <t>e. Early Lactation, high milk</t>
  </si>
  <si>
    <t>Reproductive Stage</t>
  </si>
  <si>
    <t>Soybean meal</t>
  </si>
  <si>
    <t>Soybean hulls</t>
  </si>
  <si>
    <t>Corn meal</t>
  </si>
  <si>
    <t>Distillers grain</t>
  </si>
  <si>
    <t>Corn gluten feed</t>
  </si>
  <si>
    <t>Wheat midds</t>
  </si>
  <si>
    <t>Intake</t>
  </si>
  <si>
    <t>Supplement fed</t>
  </si>
  <si>
    <t>Feed Analysis</t>
  </si>
  <si>
    <t>Supplement DM</t>
  </si>
  <si>
    <t>Adequate or not</t>
  </si>
  <si>
    <t>DMI Based on NRC</t>
  </si>
  <si>
    <t>Supplement 2</t>
  </si>
  <si>
    <t>Supplement 1</t>
  </si>
  <si>
    <t>Feed</t>
  </si>
  <si>
    <t>CP/TDN</t>
  </si>
  <si>
    <t>Rel DMI CP/TDN</t>
  </si>
  <si>
    <t>Ration DMI based on CP/TDN</t>
  </si>
  <si>
    <t>Ration DMI based on CP/TDN and NDF</t>
  </si>
  <si>
    <t>Adequate</t>
  </si>
  <si>
    <t>DMI NDF</t>
  </si>
  <si>
    <t>DMI CP &amp; NDF</t>
  </si>
  <si>
    <t>If an additional line is needed insert a line within the table.</t>
  </si>
  <si>
    <t>DMI based on NDF</t>
  </si>
  <si>
    <t>DMI based on CP/TDN</t>
  </si>
  <si>
    <t>Second cut red clover</t>
  </si>
  <si>
    <t>Nutrient density % DM</t>
  </si>
  <si>
    <t>Hay</t>
  </si>
  <si>
    <t>Estimated nutrient intake on selected hay and supplement.</t>
  </si>
  <si>
    <t>Ration to be fed</t>
  </si>
  <si>
    <t xml:space="preserve">Total </t>
  </si>
  <si>
    <t>Expected DMI</t>
  </si>
  <si>
    <t>Low Cost Hay Supplementation</t>
  </si>
  <si>
    <t>Enter feed analysis in the table on the "Feed Analysis" page.</t>
  </si>
  <si>
    <t>First estimate of the DMI of the hay.</t>
  </si>
  <si>
    <t>Nutrient analysis of the selected hay.</t>
  </si>
  <si>
    <t>Hay to be feed to these animals</t>
  </si>
  <si>
    <t>Since NDF and the CP/TDN ratio effect ration DMI three iterations are calculated to estimate ration DMI.</t>
  </si>
  <si>
    <t>1st estimate of ration nutrient intake</t>
  </si>
  <si>
    <t>2nd estimate of ration nutrient intake</t>
  </si>
  <si>
    <t>3rd estimate of ration nutrient intake</t>
  </si>
  <si>
    <t>Enter feed analysis for hay lots and supplements that are available for feeding.</t>
  </si>
  <si>
    <t>Inter data or use the pull-down menu to enter data in the blue cells.</t>
  </si>
  <si>
    <t>Cow Weight Lbs.</t>
  </si>
  <si>
    <t>Lbs. as Fed</t>
  </si>
  <si>
    <t>Lbs. DM</t>
  </si>
  <si>
    <t>Amount fed (lbs. as fed)</t>
  </si>
  <si>
    <t>lbs. as fed</t>
  </si>
  <si>
    <t>lbs. DMI feed</t>
  </si>
  <si>
    <t>1st est. ration nutrient density</t>
  </si>
  <si>
    <t>NDFI g/mb wt.</t>
  </si>
  <si>
    <t>DMI lbs. ration based on NDF</t>
  </si>
  <si>
    <t>2nd est. ration nutrient density</t>
  </si>
  <si>
    <t>3rd est. ration nutrient density</t>
  </si>
  <si>
    <t>DMI lbs.</t>
  </si>
  <si>
    <t>g. 1st Calf Heifer Early Lactation</t>
  </si>
  <si>
    <t>f. Yearling Bred Heifer 3rd Trimester</t>
  </si>
  <si>
    <t>General nutrient requirement of beef cows and heifers.</t>
  </si>
  <si>
    <t>Cattle need to be fed based on estimated nutrient requirement, keeping an eye on animal body condition.</t>
  </si>
  <si>
    <t>Hays and commercial supplements are entered into one database since one hay can be used as a supplement for another hay.</t>
  </si>
  <si>
    <t>Feed Name/Hay Lot</t>
  </si>
  <si>
    <t>NRC requirement</t>
  </si>
  <si>
    <t>Jim L's barn</t>
  </si>
  <si>
    <t>h. 500 lb steer 0.5 lb/day gain</t>
  </si>
  <si>
    <t>i. 500 lb steer 1.0 lb/day gain</t>
  </si>
  <si>
    <t>j. 500 lb steer 1.5 lb/day gain</t>
  </si>
  <si>
    <t>k. 500 lb steer 2.0 lb/day gain</t>
  </si>
  <si>
    <t>This spread sheet provides a simple way to balance a beef animals ration using hay produced on the farm and locally available supplements.</t>
  </si>
  <si>
    <t>3. Select the hay that will be the base diet for this animal.</t>
  </si>
  <si>
    <t>4. Select one or two supplements and the average amount to be fed per day.</t>
  </si>
  <si>
    <t xml:space="preserve">        One of these supplements could be a higher quality hay produced on the farm.</t>
  </si>
  <si>
    <t xml:space="preserve">        If the calculated nutrient intake is below what the animal needs increase the rate of supplemental feeding until requirements are met.</t>
  </si>
  <si>
    <t>After all data is inputted highlight all the data within the black lines and sort the data by the feed name column or enter them in alphabetic order.</t>
  </si>
  <si>
    <t>Cells with a red mark in the corner have a comment statement to help direct the user.</t>
  </si>
  <si>
    <t>DMI % BWt</t>
  </si>
  <si>
    <t>5.  There are three boxes with different information</t>
  </si>
  <si>
    <t>Cells below this point are the calculations of the rations and effects of NDF and CP/TDN on ration DMI.</t>
  </si>
  <si>
    <t>Do not modify cells below this point</t>
  </si>
  <si>
    <t>Estimated nutrient intake on selected hay alone:</t>
  </si>
  <si>
    <t>NRC recommend</t>
  </si>
  <si>
    <t>Ration DMI based on NDF &amp; CP/TDN</t>
  </si>
  <si>
    <t xml:space="preserve">        Estimated nutrient intake on selected hay alone.</t>
  </si>
  <si>
    <t xml:space="preserve">        Estimated nutrient intake on selected hay and supplement.</t>
  </si>
  <si>
    <t xml:space="preserve">        Ration to be fed</t>
  </si>
  <si>
    <t>1. Enter laboratory analysis information for hay and supplements available for feeding into the table in the Feed Analysis tab.</t>
  </si>
  <si>
    <t>2. Select the animal being fed using the pull down menu on the Balance the Ration tab.</t>
  </si>
  <si>
    <t xml:space="preserve">        To balance the ration for protein and energy one supplement could be high in protein and a second high in energy.</t>
  </si>
  <si>
    <t xml:space="preserve">        Protein supplements do not need to be fed every day. Daily averages are used in these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</si>
</sst>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2"/>
      <color theme="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4"/>
      <color theme="1"/>
      <name val="Arial"/>
      <family val="2"/>
    </font>
    <font>
      <sz val="24"/>
      <color theme="1"/>
      <name val="Arial"/>
      <family val="2"/>
    </font>
    <font>
      <u/>
      <sz val="12"/>
      <color theme="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1" fillId="0" borderId="0" xfId="1" quotePrefix="1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0" fillId="0" borderId="0" xfId="0" quotePrefix="1" applyNumberFormat="1" applyAlignment="1">
      <alignment horizontal="center" vertical="center" wrapText="1"/>
    </xf>
    <xf numFmtId="2" fontId="1" fillId="0" borderId="0" xfId="1" applyNumberFormat="1" applyFont="1" applyAlignment="1">
      <alignment horizontal="center" vertical="center"/>
    </xf>
    <xf numFmtId="2" fontId="1" fillId="0" borderId="0" xfId="1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4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4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/>
    <xf numFmtId="0" fontId="0" fillId="0" borderId="2" xfId="0" applyFill="1" applyBorder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5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 wrapText="1"/>
    </xf>
    <xf numFmtId="2" fontId="1" fillId="0" borderId="0" xfId="1" applyNumberFormat="1" applyFont="1" applyAlignment="1">
      <alignment horizontal="center" vertical="center" wrapText="1"/>
    </xf>
    <xf numFmtId="2" fontId="1" fillId="0" borderId="0" xfId="1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12" sqref="A12"/>
    </sheetView>
  </sheetViews>
  <sheetFormatPr defaultRowHeight="15" x14ac:dyDescent="0.25"/>
  <cols>
    <col min="1" max="1" width="116.453125" customWidth="1"/>
    <col min="2" max="4" width="8.81640625" customWidth="1"/>
  </cols>
  <sheetData>
    <row r="1" spans="1:5" ht="30" x14ac:dyDescent="0.5">
      <c r="A1" s="72" t="s">
        <v>55</v>
      </c>
      <c r="B1" s="72"/>
      <c r="C1" s="73"/>
    </row>
    <row r="3" spans="1:5" x14ac:dyDescent="0.25">
      <c r="A3" t="s">
        <v>90</v>
      </c>
    </row>
    <row r="5" spans="1:5" x14ac:dyDescent="0.25">
      <c r="A5" t="s">
        <v>107</v>
      </c>
    </row>
    <row r="6" spans="1:5" x14ac:dyDescent="0.25">
      <c r="A6" t="s">
        <v>108</v>
      </c>
    </row>
    <row r="7" spans="1:5" x14ac:dyDescent="0.25">
      <c r="A7" t="s">
        <v>91</v>
      </c>
    </row>
    <row r="8" spans="1:5" x14ac:dyDescent="0.25">
      <c r="A8" t="s">
        <v>92</v>
      </c>
    </row>
    <row r="9" spans="1:5" x14ac:dyDescent="0.25">
      <c r="A9" t="s">
        <v>93</v>
      </c>
    </row>
    <row r="10" spans="1:5" x14ac:dyDescent="0.25">
      <c r="A10" t="s">
        <v>94</v>
      </c>
    </row>
    <row r="11" spans="1:5" x14ac:dyDescent="0.25">
      <c r="A11" t="s">
        <v>109</v>
      </c>
    </row>
    <row r="12" spans="1:5" x14ac:dyDescent="0.25">
      <c r="A12" t="s">
        <v>110</v>
      </c>
    </row>
    <row r="13" spans="1:5" x14ac:dyDescent="0.25">
      <c r="A13" s="5" t="s">
        <v>98</v>
      </c>
      <c r="B13" s="5"/>
      <c r="C13" s="5"/>
      <c r="D13" s="5"/>
      <c r="E13" s="5"/>
    </row>
    <row r="14" spans="1:5" x14ac:dyDescent="0.25">
      <c r="A14" s="91" t="s">
        <v>104</v>
      </c>
      <c r="B14" s="5"/>
      <c r="C14" s="5"/>
      <c r="D14" s="5"/>
      <c r="E14" s="5"/>
    </row>
    <row r="15" spans="1:5" x14ac:dyDescent="0.25">
      <c r="A15" s="92" t="s">
        <v>105</v>
      </c>
      <c r="B15" s="92"/>
      <c r="C15" s="92"/>
      <c r="D15" s="92"/>
      <c r="E15" s="92"/>
    </row>
    <row r="16" spans="1:5" x14ac:dyDescent="0.25">
      <c r="A16" s="93" t="s">
        <v>106</v>
      </c>
      <c r="B16" s="93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9" spans="1:5" x14ac:dyDescent="0.25">
      <c r="A19" t="s">
        <v>96</v>
      </c>
    </row>
  </sheetData>
  <mergeCells count="2">
    <mergeCell ref="A15:E15"/>
    <mergeCell ref="A16:B1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7" sqref="A7"/>
    </sheetView>
  </sheetViews>
  <sheetFormatPr defaultRowHeight="15" x14ac:dyDescent="0.25"/>
  <cols>
    <col min="1" max="1" width="21.08984375" style="23" customWidth="1"/>
    <col min="2" max="16384" width="8.7265625" style="1"/>
  </cols>
  <sheetData>
    <row r="1" spans="1:10" x14ac:dyDescent="0.25">
      <c r="A1" s="23" t="s">
        <v>31</v>
      </c>
    </row>
    <row r="3" spans="1:10" ht="21" customHeight="1" x14ac:dyDescent="0.25">
      <c r="A3" s="23" t="s">
        <v>64</v>
      </c>
    </row>
    <row r="4" spans="1:10" ht="21" customHeight="1" x14ac:dyDescent="0.25">
      <c r="A4" s="23" t="s">
        <v>82</v>
      </c>
    </row>
    <row r="5" spans="1:10" ht="21" customHeight="1" x14ac:dyDescent="0.25">
      <c r="A5" s="23" t="s">
        <v>45</v>
      </c>
    </row>
    <row r="6" spans="1:10" ht="21" customHeight="1" x14ac:dyDescent="0.25">
      <c r="A6" s="23" t="s">
        <v>95</v>
      </c>
    </row>
    <row r="8" spans="1:10" ht="15.6" thickBot="1" x14ac:dyDescent="0.3">
      <c r="A8" s="23" t="s">
        <v>83</v>
      </c>
      <c r="B8" s="1" t="s">
        <v>7</v>
      </c>
      <c r="C8" s="1" t="s">
        <v>0</v>
      </c>
      <c r="D8" s="1" t="s">
        <v>1</v>
      </c>
      <c r="E8" s="1" t="s">
        <v>5</v>
      </c>
      <c r="F8" s="1" t="s">
        <v>6</v>
      </c>
      <c r="G8" s="1" t="s">
        <v>2</v>
      </c>
      <c r="H8" s="1" t="s">
        <v>3</v>
      </c>
      <c r="I8" s="1" t="s">
        <v>4</v>
      </c>
      <c r="J8" s="1" t="s">
        <v>15</v>
      </c>
    </row>
    <row r="9" spans="1:10" ht="15.6" thickTop="1" x14ac:dyDescent="0.25">
      <c r="A9" s="40" t="s">
        <v>13</v>
      </c>
      <c r="B9" s="41">
        <v>91</v>
      </c>
      <c r="C9" s="41">
        <v>8.1999999999999993</v>
      </c>
      <c r="D9" s="41">
        <v>59.5</v>
      </c>
      <c r="E9" s="41">
        <v>61.8</v>
      </c>
      <c r="F9" s="41">
        <v>40.5</v>
      </c>
      <c r="G9" s="42">
        <v>0.55000000000000004</v>
      </c>
      <c r="H9" s="42">
        <v>0.2</v>
      </c>
      <c r="I9" s="42">
        <v>0.15</v>
      </c>
      <c r="J9" s="68">
        <v>0.125</v>
      </c>
    </row>
    <row r="10" spans="1:10" x14ac:dyDescent="0.25">
      <c r="A10" s="24" t="s">
        <v>14</v>
      </c>
      <c r="B10" s="6">
        <v>92</v>
      </c>
      <c r="C10" s="6">
        <v>8.6999999999999993</v>
      </c>
      <c r="D10" s="6">
        <v>57.5</v>
      </c>
      <c r="E10" s="6">
        <v>62.2</v>
      </c>
      <c r="F10" s="6">
        <v>40</v>
      </c>
      <c r="G10" s="7">
        <v>0.66</v>
      </c>
      <c r="H10" s="7">
        <v>0.16</v>
      </c>
      <c r="I10" s="7">
        <v>0.16</v>
      </c>
      <c r="J10" s="69">
        <v>0.125</v>
      </c>
    </row>
    <row r="11" spans="1:10" x14ac:dyDescent="0.25">
      <c r="A11" s="24" t="s">
        <v>12</v>
      </c>
      <c r="B11" s="6">
        <v>92</v>
      </c>
      <c r="C11" s="6">
        <v>9.3000000000000007</v>
      </c>
      <c r="D11" s="6">
        <v>60</v>
      </c>
      <c r="E11" s="6">
        <v>62.3</v>
      </c>
      <c r="F11" s="6">
        <v>41</v>
      </c>
      <c r="G11" s="7">
        <v>0.65</v>
      </c>
      <c r="H11" s="7">
        <v>0.23</v>
      </c>
      <c r="I11" s="7">
        <v>0.16</v>
      </c>
      <c r="J11" s="69">
        <v>0.11</v>
      </c>
    </row>
    <row r="12" spans="1:10" x14ac:dyDescent="0.25">
      <c r="A12" s="24" t="s">
        <v>27</v>
      </c>
      <c r="B12" s="6">
        <v>89.1</v>
      </c>
      <c r="C12" s="6">
        <v>23.9</v>
      </c>
      <c r="D12" s="6">
        <v>73.3</v>
      </c>
      <c r="E12" s="6">
        <v>35.799999999999997</v>
      </c>
      <c r="F12" s="6">
        <v>11.4</v>
      </c>
      <c r="G12" s="7">
        <v>0.1</v>
      </c>
      <c r="H12" s="7">
        <v>1.05</v>
      </c>
      <c r="I12" s="7">
        <v>0.43</v>
      </c>
      <c r="J12" s="69">
        <v>0.5</v>
      </c>
    </row>
    <row r="13" spans="1:10" x14ac:dyDescent="0.25">
      <c r="A13" s="24" t="s">
        <v>25</v>
      </c>
      <c r="B13" s="6">
        <v>89</v>
      </c>
      <c r="C13" s="6">
        <v>9.1</v>
      </c>
      <c r="D13" s="6">
        <v>88.1</v>
      </c>
      <c r="E13" s="6">
        <v>10</v>
      </c>
      <c r="F13" s="6">
        <v>3.7</v>
      </c>
      <c r="G13" s="7">
        <v>0.04</v>
      </c>
      <c r="H13" s="7">
        <v>0.31</v>
      </c>
      <c r="I13" s="7">
        <v>0.12</v>
      </c>
      <c r="J13" s="69">
        <v>0.1</v>
      </c>
    </row>
    <row r="14" spans="1:10" x14ac:dyDescent="0.25">
      <c r="A14" s="24" t="s">
        <v>26</v>
      </c>
      <c r="B14" s="6">
        <v>88.2</v>
      </c>
      <c r="C14" s="6">
        <v>31.3</v>
      </c>
      <c r="D14" s="6">
        <v>82.8</v>
      </c>
      <c r="E14" s="6">
        <v>34.1</v>
      </c>
      <c r="F14" s="6">
        <v>16.8</v>
      </c>
      <c r="G14" s="7">
        <v>0.08</v>
      </c>
      <c r="H14" s="7">
        <v>0.88</v>
      </c>
      <c r="I14" s="7">
        <v>0.32</v>
      </c>
      <c r="J14" s="69">
        <v>0.64</v>
      </c>
    </row>
    <row r="15" spans="1:10" x14ac:dyDescent="0.25">
      <c r="A15" s="24" t="s">
        <v>85</v>
      </c>
      <c r="B15" s="6">
        <v>92</v>
      </c>
      <c r="C15" s="6">
        <v>8.6</v>
      </c>
      <c r="D15" s="6">
        <v>57.5</v>
      </c>
      <c r="E15" s="6">
        <v>63.4</v>
      </c>
      <c r="F15" s="6">
        <v>40</v>
      </c>
      <c r="G15" s="7">
        <v>0.53</v>
      </c>
      <c r="H15" s="7">
        <v>0.19</v>
      </c>
      <c r="I15" s="7">
        <v>0.21</v>
      </c>
      <c r="J15" s="69">
        <v>0.13500000000000001</v>
      </c>
    </row>
    <row r="16" spans="1:10" x14ac:dyDescent="0.25">
      <c r="A16" s="24" t="s">
        <v>10</v>
      </c>
      <c r="B16" s="6">
        <v>92</v>
      </c>
      <c r="C16" s="6">
        <v>11.7</v>
      </c>
      <c r="D16" s="6">
        <v>62.5</v>
      </c>
      <c r="E16" s="6">
        <v>60.3</v>
      </c>
      <c r="F16" s="6">
        <v>38</v>
      </c>
      <c r="G16" s="7">
        <v>0.61</v>
      </c>
      <c r="H16" s="7">
        <v>0.25</v>
      </c>
      <c r="I16" s="7">
        <v>0.2</v>
      </c>
      <c r="J16" s="69">
        <v>0.155</v>
      </c>
    </row>
    <row r="17" spans="1:10" x14ac:dyDescent="0.25">
      <c r="A17" s="24" t="s">
        <v>48</v>
      </c>
      <c r="B17" s="6">
        <v>91</v>
      </c>
      <c r="C17" s="6">
        <v>16</v>
      </c>
      <c r="D17" s="6">
        <v>63</v>
      </c>
      <c r="E17" s="6">
        <v>52</v>
      </c>
      <c r="F17" s="6">
        <v>37</v>
      </c>
      <c r="G17" s="7">
        <v>0.8</v>
      </c>
      <c r="H17" s="7">
        <v>0.34</v>
      </c>
      <c r="I17" s="7">
        <v>0.4</v>
      </c>
      <c r="J17" s="69">
        <v>0.25</v>
      </c>
    </row>
    <row r="18" spans="1:10" x14ac:dyDescent="0.25">
      <c r="A18" s="24" t="s">
        <v>11</v>
      </c>
      <c r="B18" s="6">
        <v>92</v>
      </c>
      <c r="C18" s="6">
        <v>8.6999999999999993</v>
      </c>
      <c r="D18" s="6">
        <v>57.5</v>
      </c>
      <c r="E18" s="6">
        <v>63.4</v>
      </c>
      <c r="F18" s="6">
        <v>40</v>
      </c>
      <c r="G18" s="7">
        <v>0.53</v>
      </c>
      <c r="H18" s="7">
        <v>0.21</v>
      </c>
      <c r="I18" s="7">
        <v>0.17</v>
      </c>
      <c r="J18" s="69">
        <v>0.13</v>
      </c>
    </row>
    <row r="19" spans="1:10" x14ac:dyDescent="0.25">
      <c r="A19" s="24" t="s">
        <v>24</v>
      </c>
      <c r="B19" s="6">
        <v>91</v>
      </c>
      <c r="C19" s="6">
        <v>13.8</v>
      </c>
      <c r="D19" s="6">
        <v>63.1</v>
      </c>
      <c r="E19" s="6">
        <v>62.7</v>
      </c>
      <c r="F19" s="6">
        <v>44.5</v>
      </c>
      <c r="G19" s="7">
        <v>0.64</v>
      </c>
      <c r="H19" s="7">
        <v>0.19</v>
      </c>
      <c r="I19" s="7">
        <v>0.26</v>
      </c>
      <c r="J19" s="69">
        <v>0.13</v>
      </c>
    </row>
    <row r="20" spans="1:10" x14ac:dyDescent="0.25">
      <c r="A20" s="24" t="s">
        <v>23</v>
      </c>
      <c r="B20" s="6">
        <v>90.2</v>
      </c>
      <c r="C20" s="6">
        <v>51.3</v>
      </c>
      <c r="D20" s="6">
        <v>79.900000000000006</v>
      </c>
      <c r="E20" s="6">
        <v>13.4</v>
      </c>
      <c r="F20" s="6">
        <v>8.5</v>
      </c>
      <c r="G20" s="7">
        <v>0.41</v>
      </c>
      <c r="H20" s="7">
        <v>0.75</v>
      </c>
      <c r="I20" s="7">
        <v>0.32</v>
      </c>
      <c r="J20" s="69">
        <v>0.39</v>
      </c>
    </row>
    <row r="21" spans="1:10" x14ac:dyDescent="0.25">
      <c r="A21" s="24" t="s">
        <v>16</v>
      </c>
      <c r="B21" s="6">
        <v>91</v>
      </c>
      <c r="C21" s="6">
        <v>5</v>
      </c>
      <c r="D21" s="6">
        <v>45</v>
      </c>
      <c r="E21" s="6">
        <v>72</v>
      </c>
      <c r="F21" s="6">
        <v>55</v>
      </c>
      <c r="G21" s="7">
        <v>0.2</v>
      </c>
      <c r="H21" s="7">
        <v>0.1</v>
      </c>
      <c r="I21" s="7">
        <v>0.1</v>
      </c>
      <c r="J21" s="69">
        <v>0.1</v>
      </c>
    </row>
    <row r="22" spans="1:10" x14ac:dyDescent="0.25">
      <c r="A22" s="24" t="s">
        <v>9</v>
      </c>
      <c r="B22" s="6">
        <v>92</v>
      </c>
      <c r="C22" s="6">
        <v>9.4</v>
      </c>
      <c r="D22" s="6">
        <v>58.5</v>
      </c>
      <c r="E22" s="6">
        <v>65.099999999999994</v>
      </c>
      <c r="F22" s="6">
        <v>40</v>
      </c>
      <c r="G22" s="7">
        <v>0.47</v>
      </c>
      <c r="H22" s="7">
        <v>0.2</v>
      </c>
      <c r="I22" s="7">
        <v>0.16</v>
      </c>
      <c r="J22" s="69">
        <v>0.125</v>
      </c>
    </row>
    <row r="23" spans="1:10" ht="15.6" thickBot="1" x14ac:dyDescent="0.3">
      <c r="A23" s="43" t="s">
        <v>28</v>
      </c>
      <c r="B23" s="44">
        <v>89.8</v>
      </c>
      <c r="C23" s="44">
        <v>18.399999999999999</v>
      </c>
      <c r="D23" s="44">
        <v>73.2</v>
      </c>
      <c r="E23" s="44">
        <v>37.9</v>
      </c>
      <c r="F23" s="44">
        <v>13.2</v>
      </c>
      <c r="G23" s="45">
        <v>0.14000000000000001</v>
      </c>
      <c r="H23" s="45">
        <v>1.08</v>
      </c>
      <c r="I23" s="45">
        <v>0.42</v>
      </c>
      <c r="J23" s="70">
        <v>0.19</v>
      </c>
    </row>
    <row r="24" spans="1:10" ht="15.6" thickTop="1" x14ac:dyDescent="0.25"/>
  </sheetData>
  <sortState ref="A8:J20">
    <sortCondition ref="A8:A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1"/>
  <sheetViews>
    <sheetView topLeftCell="A13" workbookViewId="0">
      <selection activeCell="A32" sqref="A32"/>
    </sheetView>
  </sheetViews>
  <sheetFormatPr defaultRowHeight="15" x14ac:dyDescent="0.25"/>
  <cols>
    <col min="1" max="1" width="31.54296875" style="13" customWidth="1"/>
    <col min="2" max="2" width="29.7265625" style="15" customWidth="1"/>
    <col min="3" max="3" width="15" style="13" customWidth="1"/>
    <col min="4" max="4" width="11.90625" style="13" customWidth="1"/>
    <col min="5" max="5" width="9.81640625" style="13" customWidth="1"/>
    <col min="6" max="6" width="13.7265625" style="13" customWidth="1"/>
    <col min="7" max="7" width="17" style="13" customWidth="1"/>
    <col min="8" max="8" width="11" style="13" customWidth="1"/>
    <col min="9" max="9" width="12.81640625" style="13" customWidth="1"/>
    <col min="10" max="10" width="11.54296875" style="13" customWidth="1"/>
    <col min="11" max="15" width="6.453125" style="13" customWidth="1"/>
    <col min="16" max="16384" width="8.7265625" style="13"/>
  </cols>
  <sheetData>
    <row r="1" spans="1:3" ht="30" x14ac:dyDescent="0.5">
      <c r="A1" s="99" t="s">
        <v>55</v>
      </c>
      <c r="B1" s="99"/>
      <c r="C1" s="100"/>
    </row>
    <row r="3" spans="1:3" s="18" customFormat="1" ht="22.2" customHeight="1" x14ac:dyDescent="0.25">
      <c r="A3" s="23" t="s">
        <v>65</v>
      </c>
    </row>
    <row r="4" spans="1:3" s="18" customFormat="1" ht="22.2" customHeight="1" x14ac:dyDescent="0.25">
      <c r="A4" s="23" t="s">
        <v>56</v>
      </c>
    </row>
    <row r="6" spans="1:3" s="22" customFormat="1" ht="19.2" customHeight="1" x14ac:dyDescent="0.25">
      <c r="A6" s="22" t="s">
        <v>66</v>
      </c>
      <c r="B6" s="64">
        <v>500</v>
      </c>
    </row>
    <row r="7" spans="1:3" s="22" customFormat="1" ht="29.4" customHeight="1" x14ac:dyDescent="0.25">
      <c r="A7" s="22" t="s">
        <v>22</v>
      </c>
      <c r="B7" s="65" t="s">
        <v>89</v>
      </c>
    </row>
    <row r="8" spans="1:3" s="22" customFormat="1" ht="19.2" customHeight="1" x14ac:dyDescent="0.25"/>
    <row r="9" spans="1:3" s="22" customFormat="1" ht="19.2" customHeight="1" x14ac:dyDescent="0.25">
      <c r="A9" s="102" t="s">
        <v>59</v>
      </c>
      <c r="B9" s="102"/>
    </row>
    <row r="10" spans="1:3" s="22" customFormat="1" ht="19.2" customHeight="1" x14ac:dyDescent="0.25">
      <c r="A10" s="22" t="s">
        <v>8</v>
      </c>
      <c r="B10" s="14" t="s">
        <v>13</v>
      </c>
    </row>
    <row r="11" spans="1:3" ht="21.6" customHeight="1" x14ac:dyDescent="0.25">
      <c r="A11" s="101" t="s">
        <v>58</v>
      </c>
      <c r="B11" s="101"/>
    </row>
    <row r="12" spans="1:3" x14ac:dyDescent="0.25">
      <c r="A12" s="16" t="s">
        <v>7</v>
      </c>
      <c r="B12" s="15">
        <f>VLOOKUP(B$10,'Feed Analysis'!A$9:J$23,2)</f>
        <v>91</v>
      </c>
    </row>
    <row r="13" spans="1:3" x14ac:dyDescent="0.25">
      <c r="A13" s="16" t="s">
        <v>1</v>
      </c>
      <c r="B13" s="17">
        <f>VLOOKUP(B$10,'Feed Analysis'!A$9:J$23,4)</f>
        <v>59.5</v>
      </c>
    </row>
    <row r="14" spans="1:3" x14ac:dyDescent="0.25">
      <c r="A14" s="16" t="s">
        <v>0</v>
      </c>
      <c r="B14" s="17">
        <f>VLOOKUP(B$10,'Feed Analysis'!A$9:J$23,3)</f>
        <v>8.1999999999999993</v>
      </c>
    </row>
    <row r="15" spans="1:3" x14ac:dyDescent="0.25">
      <c r="A15" s="16" t="s">
        <v>5</v>
      </c>
      <c r="B15" s="17">
        <f>VLOOKUP(B$10,'Feed Analysis'!A$9:J$23,5)</f>
        <v>61.8</v>
      </c>
    </row>
    <row r="16" spans="1:3" x14ac:dyDescent="0.25">
      <c r="A16" s="16" t="s">
        <v>6</v>
      </c>
      <c r="B16" s="17">
        <f>VLOOKUP(B$10,'Feed Analysis'!A$9:J$23,6)</f>
        <v>40.5</v>
      </c>
    </row>
    <row r="17" spans="1:4" x14ac:dyDescent="0.25">
      <c r="A17" s="16" t="s">
        <v>2</v>
      </c>
      <c r="B17" s="20">
        <f>VLOOKUP(B$10,'Feed Analysis'!A$9:J$23,7)</f>
        <v>0.55000000000000004</v>
      </c>
    </row>
    <row r="18" spans="1:4" x14ac:dyDescent="0.25">
      <c r="A18" s="16" t="s">
        <v>3</v>
      </c>
      <c r="B18" s="20">
        <f>VLOOKUP(B$10,'Feed Analysis'!A$9:J$23,8)</f>
        <v>0.2</v>
      </c>
    </row>
    <row r="19" spans="1:4" x14ac:dyDescent="0.25">
      <c r="A19" s="16" t="s">
        <v>4</v>
      </c>
      <c r="B19" s="20">
        <f>VLOOKUP(B$10,'Feed Analysis'!A$9:J$23,9)</f>
        <v>0.15</v>
      </c>
    </row>
    <row r="20" spans="1:4" x14ac:dyDescent="0.25">
      <c r="A20" s="16" t="s">
        <v>15</v>
      </c>
      <c r="B20" s="20">
        <f>VLOOKUP(B$10,'Feed Analysis'!A$9:J$23,10)</f>
        <v>0.125</v>
      </c>
    </row>
    <row r="21" spans="1:4" x14ac:dyDescent="0.25">
      <c r="A21" s="16"/>
      <c r="B21" s="20"/>
    </row>
    <row r="22" spans="1:4" ht="19.2" customHeight="1" x14ac:dyDescent="0.25">
      <c r="A22" s="101" t="s">
        <v>57</v>
      </c>
      <c r="B22" s="101"/>
    </row>
    <row r="23" spans="1:4" x14ac:dyDescent="0.25">
      <c r="A23" s="18" t="s">
        <v>34</v>
      </c>
      <c r="B23" s="17">
        <f>VLOOKUP(B7,'Nutrient Requirements'!A5:B15,2)/100*B6</f>
        <v>13.100000000000001</v>
      </c>
    </row>
    <row r="24" spans="1:4" x14ac:dyDescent="0.25">
      <c r="A24" s="13" t="s">
        <v>73</v>
      </c>
      <c r="B24" s="27">
        <f>-6.8+1.55*B15-0.0079*B15^2</f>
        <v>58.818003999999995</v>
      </c>
      <c r="C24" s="15"/>
    </row>
    <row r="25" spans="1:4" x14ac:dyDescent="0.25">
      <c r="A25" s="13" t="s">
        <v>46</v>
      </c>
      <c r="B25" s="20">
        <f>((B$6/2.2)^0.75*B24/1000/(B$6/2.2))/(B15/100)*100*B$6/100</f>
        <v>12.256175776393571</v>
      </c>
      <c r="C25" s="15"/>
    </row>
    <row r="26" spans="1:4" x14ac:dyDescent="0.25">
      <c r="A26" s="13" t="s">
        <v>38</v>
      </c>
      <c r="B26" s="20">
        <f>B14/B13</f>
        <v>0.13781512605042015</v>
      </c>
      <c r="C26" s="15"/>
    </row>
    <row r="27" spans="1:4" x14ac:dyDescent="0.25">
      <c r="A27" s="13" t="s">
        <v>39</v>
      </c>
      <c r="B27" s="26">
        <f>IF(B26&lt;0.2,-0.84+30.9*B26-71.3*B26^2,2.5)/2.5</f>
        <v>0.8257143422074712</v>
      </c>
      <c r="C27" s="15"/>
    </row>
    <row r="28" spans="1:4" x14ac:dyDescent="0.25">
      <c r="A28" s="13" t="s">
        <v>47</v>
      </c>
      <c r="B28" s="20">
        <f>B25*B27</f>
        <v>10.120100119183959</v>
      </c>
      <c r="C28" s="15"/>
    </row>
    <row r="29" spans="1:4" s="28" customFormat="1" x14ac:dyDescent="0.25">
      <c r="B29" s="20"/>
      <c r="C29" s="15"/>
    </row>
    <row r="30" spans="1:4" s="28" customFormat="1" x14ac:dyDescent="0.25">
      <c r="A30" s="35"/>
      <c r="B30" s="29" t="s">
        <v>36</v>
      </c>
      <c r="C30" s="29" t="s">
        <v>35</v>
      </c>
      <c r="D30" s="33"/>
    </row>
    <row r="31" spans="1:4" s="28" customFormat="1" x14ac:dyDescent="0.25">
      <c r="A31" s="66" t="s">
        <v>30</v>
      </c>
      <c r="B31" s="37" t="s">
        <v>25</v>
      </c>
      <c r="C31" s="37" t="s">
        <v>27</v>
      </c>
      <c r="D31" s="33"/>
    </row>
    <row r="32" spans="1:4" s="28" customFormat="1" x14ac:dyDescent="0.25">
      <c r="A32" s="35" t="s">
        <v>69</v>
      </c>
      <c r="B32" s="39">
        <v>4</v>
      </c>
      <c r="C32" s="39">
        <v>3</v>
      </c>
      <c r="D32" s="49"/>
    </row>
    <row r="33" spans="1:10" s="28" customFormat="1" x14ac:dyDescent="0.25">
      <c r="A33" s="35" t="s">
        <v>32</v>
      </c>
      <c r="B33" s="47">
        <f>VLOOKUP(B$31,'Feed Analysis'!$A$9:$J$23,2)</f>
        <v>89</v>
      </c>
      <c r="C33" s="47">
        <f>VLOOKUP(C$31,'Feed Analysis'!$A$9:$J$23,2)</f>
        <v>89.1</v>
      </c>
      <c r="D33" s="49"/>
    </row>
    <row r="34" spans="1:10" ht="15.6" thickBot="1" x14ac:dyDescent="0.3">
      <c r="B34" s="19"/>
      <c r="C34" s="15"/>
    </row>
    <row r="35" spans="1:10" s="56" customFormat="1" ht="34.200000000000003" customHeight="1" x14ac:dyDescent="0.3">
      <c r="A35" s="77" t="s">
        <v>101</v>
      </c>
      <c r="B35" s="78"/>
      <c r="C35" s="78" t="str">
        <f>B10</f>
        <v>Back field M</v>
      </c>
      <c r="D35" s="79"/>
      <c r="E35" s="80"/>
    </row>
    <row r="36" spans="1:10" s="15" customFormat="1" ht="30" x14ac:dyDescent="0.25">
      <c r="A36" s="81"/>
      <c r="C36" s="29" t="s">
        <v>29</v>
      </c>
      <c r="D36" s="29" t="s">
        <v>84</v>
      </c>
      <c r="E36" s="30" t="s">
        <v>33</v>
      </c>
    </row>
    <row r="37" spans="1:10" x14ac:dyDescent="0.25">
      <c r="A37" s="82" t="s">
        <v>77</v>
      </c>
      <c r="C37" s="31">
        <f>MIN(B23,B25,B28)</f>
        <v>10.120100119183959</v>
      </c>
      <c r="D37" s="31">
        <f>VLOOKUP(B$7,'Nutrient Requirements'!A$5:H$15,2)*B6/100</f>
        <v>13.1</v>
      </c>
      <c r="E37" s="32">
        <f t="shared" ref="E37:E43" si="0">C37-D37</f>
        <v>-2.9798998808160402</v>
      </c>
    </row>
    <row r="38" spans="1:10" x14ac:dyDescent="0.25">
      <c r="A38" s="82" t="s">
        <v>1</v>
      </c>
      <c r="C38" s="31">
        <f>C$37*B13/100</f>
        <v>6.0214595709144554</v>
      </c>
      <c r="D38" s="31">
        <f>VLOOKUP(B$7,'Nutrient Requirements'!A$5:H$15,4)*D37/100</f>
        <v>8.9079999999999995</v>
      </c>
      <c r="E38" s="32">
        <f t="shared" si="0"/>
        <v>-2.8865404290855441</v>
      </c>
    </row>
    <row r="39" spans="1:10" x14ac:dyDescent="0.25">
      <c r="A39" s="82" t="s">
        <v>0</v>
      </c>
      <c r="C39" s="31">
        <f>C$37*B14/100</f>
        <v>0.8298482097730846</v>
      </c>
      <c r="D39" s="31">
        <f>VLOOKUP(B$7,'Nutrient Requirements'!A$5:H$15,3)*D37/100</f>
        <v>1.4934000000000001</v>
      </c>
      <c r="E39" s="32">
        <f t="shared" si="0"/>
        <v>-0.66355179022691546</v>
      </c>
    </row>
    <row r="40" spans="1:10" x14ac:dyDescent="0.25">
      <c r="A40" s="82" t="s">
        <v>2</v>
      </c>
      <c r="C40" s="33">
        <f>C$37*B17/100</f>
        <v>5.566055065551178E-2</v>
      </c>
      <c r="D40" s="33">
        <f>VLOOKUP(B$7,'Nutrient Requirements'!A$5:H$15,5)*D37/100</f>
        <v>6.1569999999999993E-2</v>
      </c>
      <c r="E40" s="34">
        <f t="shared" si="0"/>
        <v>-5.9094493444882129E-3</v>
      </c>
    </row>
    <row r="41" spans="1:10" x14ac:dyDescent="0.25">
      <c r="A41" s="82" t="s">
        <v>3</v>
      </c>
      <c r="C41" s="33">
        <f>C$37*B18/100</f>
        <v>2.0240200238367919E-2</v>
      </c>
      <c r="D41" s="33">
        <f>VLOOKUP(B$7,'Nutrient Requirements'!A$5:H$15,6)*D37/100</f>
        <v>3.1439999999999996E-2</v>
      </c>
      <c r="E41" s="34">
        <f t="shared" si="0"/>
        <v>-1.1199799761632077E-2</v>
      </c>
    </row>
    <row r="42" spans="1:10" x14ac:dyDescent="0.25">
      <c r="A42" s="82" t="s">
        <v>4</v>
      </c>
      <c r="C42" s="33">
        <f>C$37*B19/100</f>
        <v>1.518015017877594E-2</v>
      </c>
      <c r="D42" s="33">
        <f>VLOOKUP(B$7,'Nutrient Requirements'!A$5:H$15,7)*D37/100</f>
        <v>1.3100000000000001E-2</v>
      </c>
      <c r="E42" s="34">
        <f t="shared" si="0"/>
        <v>2.0801501787759396E-3</v>
      </c>
    </row>
    <row r="43" spans="1:10" x14ac:dyDescent="0.25">
      <c r="A43" s="82" t="s">
        <v>15</v>
      </c>
      <c r="C43" s="33">
        <f>C$37*B20/100</f>
        <v>1.265012514897995E-2</v>
      </c>
      <c r="D43" s="33">
        <f>VLOOKUP(B$7,'Nutrient Requirements'!A$5:H$15,8)*D37/100</f>
        <v>1.9649999999999997E-2</v>
      </c>
      <c r="E43" s="34">
        <f t="shared" si="0"/>
        <v>-6.9998748510200475E-3</v>
      </c>
    </row>
    <row r="44" spans="1:10" x14ac:dyDescent="0.25">
      <c r="A44" s="82"/>
      <c r="B44" s="33"/>
      <c r="C44" s="33"/>
      <c r="D44" s="33"/>
      <c r="E44" s="86"/>
    </row>
    <row r="45" spans="1:10" s="67" customFormat="1" ht="15.6" thickBot="1" x14ac:dyDescent="0.3">
      <c r="A45" s="83"/>
      <c r="B45" s="84"/>
      <c r="C45" s="84"/>
      <c r="D45" s="84"/>
      <c r="E45" s="85"/>
      <c r="F45" s="35"/>
      <c r="G45" s="33"/>
      <c r="H45" s="33"/>
      <c r="I45" s="33"/>
      <c r="J45" s="33"/>
    </row>
    <row r="46" spans="1:10" s="67" customFormat="1" ht="17.399999999999999" x14ac:dyDescent="0.25">
      <c r="A46" s="94" t="s">
        <v>51</v>
      </c>
      <c r="B46" s="95"/>
      <c r="C46" s="95"/>
      <c r="D46" s="95"/>
      <c r="E46" s="96"/>
      <c r="F46" s="38"/>
      <c r="G46" s="33"/>
      <c r="H46" s="33"/>
      <c r="I46" s="33"/>
      <c r="J46" s="33"/>
    </row>
    <row r="47" spans="1:10" s="67" customFormat="1" ht="30" x14ac:dyDescent="0.25">
      <c r="A47" s="46" t="s">
        <v>29</v>
      </c>
      <c r="B47" s="29" t="s">
        <v>49</v>
      </c>
      <c r="C47" s="29" t="s">
        <v>29</v>
      </c>
      <c r="D47" s="29" t="s">
        <v>102</v>
      </c>
      <c r="E47" s="30" t="s">
        <v>42</v>
      </c>
      <c r="F47" s="38"/>
      <c r="G47" s="33"/>
      <c r="H47" s="33"/>
      <c r="I47" s="33"/>
      <c r="J47" s="33"/>
    </row>
    <row r="48" spans="1:10" s="67" customFormat="1" x14ac:dyDescent="0.25">
      <c r="A48" s="38" t="s">
        <v>77</v>
      </c>
      <c r="B48" s="35"/>
      <c r="C48" s="31">
        <f>C106</f>
        <v>12.631263289482865</v>
      </c>
      <c r="D48" s="31">
        <f t="shared" ref="D48:D54" si="1">D37</f>
        <v>13.1</v>
      </c>
      <c r="E48" s="32">
        <f>C48-D48</f>
        <v>-0.46873671051713472</v>
      </c>
      <c r="F48" s="38"/>
      <c r="G48" s="33"/>
      <c r="H48" s="33"/>
      <c r="I48" s="33"/>
      <c r="J48" s="33"/>
    </row>
    <row r="49" spans="1:10" s="67" customFormat="1" x14ac:dyDescent="0.25">
      <c r="A49" s="38" t="s">
        <v>1</v>
      </c>
      <c r="B49" s="47">
        <f>F106</f>
        <v>70.480960242946423</v>
      </c>
      <c r="C49" s="31">
        <f>F106*C$48/100</f>
        <v>8.9026356572423051</v>
      </c>
      <c r="D49" s="31">
        <f t="shared" si="1"/>
        <v>8.9079999999999995</v>
      </c>
      <c r="E49" s="32">
        <f>C49-D49</f>
        <v>-5.3643427576943736E-3</v>
      </c>
      <c r="F49" s="38"/>
      <c r="G49" s="33"/>
      <c r="H49" s="33"/>
      <c r="I49" s="33"/>
      <c r="J49" s="33"/>
    </row>
    <row r="50" spans="1:10" s="67" customFormat="1" x14ac:dyDescent="0.25">
      <c r="A50" s="38" t="s">
        <v>0</v>
      </c>
      <c r="B50" s="31">
        <f>E106</f>
        <v>11.776055614137174</v>
      </c>
      <c r="C50" s="31">
        <f>E106*C$48/100</f>
        <v>1.4874645897375947</v>
      </c>
      <c r="D50" s="31">
        <f t="shared" si="1"/>
        <v>1.4934000000000001</v>
      </c>
      <c r="E50" s="32">
        <f t="shared" ref="E50:E54" si="2">C50-D50</f>
        <v>-5.935410262405405E-3</v>
      </c>
      <c r="F50" s="38"/>
      <c r="G50" s="33"/>
      <c r="H50" s="33"/>
      <c r="I50" s="33"/>
      <c r="J50" s="33"/>
    </row>
    <row r="51" spans="1:10" s="67" customFormat="1" x14ac:dyDescent="0.25">
      <c r="A51" s="38" t="s">
        <v>2</v>
      </c>
      <c r="B51" s="33">
        <f>I106</f>
        <v>0.31103340332449214</v>
      </c>
      <c r="C51" s="33">
        <f>I106*C$48/100</f>
        <v>3.9287448092155758E-2</v>
      </c>
      <c r="D51" s="33">
        <f t="shared" si="1"/>
        <v>6.1569999999999993E-2</v>
      </c>
      <c r="E51" s="34">
        <f t="shared" si="2"/>
        <v>-2.2282551907844235E-2</v>
      </c>
      <c r="F51" s="38"/>
      <c r="G51" s="33"/>
      <c r="H51" s="33"/>
      <c r="I51" s="33"/>
      <c r="J51" s="33"/>
    </row>
    <row r="52" spans="1:10" s="67" customFormat="1" x14ac:dyDescent="0.25">
      <c r="A52" s="38" t="s">
        <v>3</v>
      </c>
      <c r="B52" s="33">
        <f>J106</f>
        <v>0.41087756140890735</v>
      </c>
      <c r="C52" s="33">
        <f>J106*C$48/100</f>
        <v>5.189902657896573E-2</v>
      </c>
      <c r="D52" s="33">
        <f t="shared" si="1"/>
        <v>3.1439999999999996E-2</v>
      </c>
      <c r="E52" s="34">
        <f t="shared" si="2"/>
        <v>2.0459026578965735E-2</v>
      </c>
      <c r="F52" s="38"/>
      <c r="G52" s="33"/>
      <c r="H52" s="33"/>
      <c r="I52" s="33"/>
      <c r="J52" s="33"/>
    </row>
    <row r="53" spans="1:10" s="67" customFormat="1" x14ac:dyDescent="0.25">
      <c r="A53" s="38" t="s">
        <v>4</v>
      </c>
      <c r="B53" s="33">
        <f>K106</f>
        <v>0.20079776941505501</v>
      </c>
      <c r="C53" s="33">
        <f>K106*C$48/100</f>
        <v>2.5363294934224293E-2</v>
      </c>
      <c r="D53" s="33">
        <f t="shared" si="1"/>
        <v>1.3100000000000001E-2</v>
      </c>
      <c r="E53" s="34">
        <f t="shared" si="2"/>
        <v>1.2263294934224293E-2</v>
      </c>
      <c r="F53" s="38"/>
      <c r="G53" s="33"/>
      <c r="H53" s="33"/>
      <c r="I53" s="33"/>
      <c r="J53" s="33"/>
    </row>
    <row r="54" spans="1:10" s="67" customFormat="1" x14ac:dyDescent="0.25">
      <c r="A54" s="38" t="s">
        <v>15</v>
      </c>
      <c r="B54" s="33">
        <f>L92</f>
        <v>0.19456559653191985</v>
      </c>
      <c r="C54" s="33">
        <f>L106*C$48/100</f>
        <v>2.4922829111853576E-2</v>
      </c>
      <c r="D54" s="33">
        <f t="shared" si="1"/>
        <v>1.9649999999999997E-2</v>
      </c>
      <c r="E54" s="34">
        <f t="shared" si="2"/>
        <v>5.2728291118535782E-3</v>
      </c>
      <c r="F54" s="38"/>
      <c r="G54" s="33"/>
      <c r="H54" s="33"/>
      <c r="I54" s="33"/>
      <c r="J54" s="33"/>
    </row>
    <row r="55" spans="1:10" s="67" customFormat="1" ht="15.6" thickBot="1" x14ac:dyDescent="0.3">
      <c r="A55" s="51"/>
      <c r="B55" s="58"/>
      <c r="C55" s="58"/>
      <c r="D55" s="58"/>
      <c r="E55" s="59"/>
      <c r="F55" s="38"/>
      <c r="G55" s="33"/>
      <c r="H55" s="33"/>
      <c r="I55" s="33"/>
      <c r="J55" s="33"/>
    </row>
    <row r="56" spans="1:10" ht="34.200000000000003" customHeight="1" thickTop="1" x14ac:dyDescent="0.25">
      <c r="A56" s="97" t="s">
        <v>52</v>
      </c>
      <c r="B56" s="98"/>
      <c r="C56" s="54"/>
      <c r="D56" s="54"/>
      <c r="E56" s="55"/>
    </row>
    <row r="57" spans="1:10" ht="34.200000000000003" customHeight="1" x14ac:dyDescent="0.25">
      <c r="A57" s="57"/>
      <c r="B57" s="29"/>
      <c r="C57" s="33" t="s">
        <v>67</v>
      </c>
      <c r="D57" s="33" t="s">
        <v>68</v>
      </c>
      <c r="E57" s="34"/>
    </row>
    <row r="58" spans="1:10" x14ac:dyDescent="0.25">
      <c r="A58" s="38" t="s">
        <v>50</v>
      </c>
      <c r="B58" s="35" t="str">
        <f>B10</f>
        <v>Back field M</v>
      </c>
      <c r="C58" s="47">
        <f>B104</f>
        <v>7.0310585598712789</v>
      </c>
      <c r="D58" s="47">
        <f>C104</f>
        <v>6.3982632894828644</v>
      </c>
      <c r="E58" s="34"/>
    </row>
    <row r="59" spans="1:10" x14ac:dyDescent="0.25">
      <c r="A59" s="38" t="s">
        <v>36</v>
      </c>
      <c r="B59" s="35" t="str">
        <f>B31</f>
        <v>Corn meal</v>
      </c>
      <c r="C59" s="47">
        <f>B102</f>
        <v>4</v>
      </c>
      <c r="D59" s="47">
        <f>C102</f>
        <v>3.56</v>
      </c>
      <c r="E59" s="34"/>
    </row>
    <row r="60" spans="1:10" x14ac:dyDescent="0.25">
      <c r="A60" s="38" t="s">
        <v>35</v>
      </c>
      <c r="B60" s="35" t="str">
        <f>C31</f>
        <v>Corn gluten feed</v>
      </c>
      <c r="C60" s="47">
        <f>B103</f>
        <v>3</v>
      </c>
      <c r="D60" s="47">
        <f>C103</f>
        <v>2.6729999999999996</v>
      </c>
      <c r="E60" s="34"/>
    </row>
    <row r="61" spans="1:10" x14ac:dyDescent="0.25">
      <c r="A61" s="38" t="s">
        <v>53</v>
      </c>
      <c r="B61" s="35"/>
      <c r="C61" s="47">
        <f>SUM(C58:C60)</f>
        <v>14.03105855987128</v>
      </c>
      <c r="D61" s="47">
        <f>SUM(D58:D60)</f>
        <v>12.631263289482865</v>
      </c>
      <c r="E61" s="34"/>
    </row>
    <row r="62" spans="1:10" x14ac:dyDescent="0.25">
      <c r="A62" s="38"/>
      <c r="B62" s="35"/>
      <c r="C62" s="47"/>
      <c r="D62" s="47"/>
      <c r="E62" s="34"/>
    </row>
    <row r="63" spans="1:10" x14ac:dyDescent="0.25">
      <c r="A63" s="38" t="s">
        <v>54</v>
      </c>
      <c r="B63" s="35"/>
      <c r="C63" s="47"/>
      <c r="D63" s="47"/>
      <c r="E63" s="34"/>
    </row>
    <row r="64" spans="1:10" x14ac:dyDescent="0.25">
      <c r="A64" s="36" t="s">
        <v>43</v>
      </c>
      <c r="B64" s="47">
        <f>B109</f>
        <v>13.618084368570933</v>
      </c>
      <c r="C64" s="29"/>
      <c r="D64" s="35"/>
      <c r="E64" s="34"/>
    </row>
    <row r="65" spans="1:12" s="15" customFormat="1" x14ac:dyDescent="0.25">
      <c r="A65" s="36" t="s">
        <v>39</v>
      </c>
      <c r="B65" s="31">
        <f>B111</f>
        <v>0.93295616853075958</v>
      </c>
      <c r="C65" s="29"/>
      <c r="D65" s="29"/>
      <c r="E65" s="30"/>
    </row>
    <row r="66" spans="1:12" x14ac:dyDescent="0.25">
      <c r="A66" s="36" t="s">
        <v>44</v>
      </c>
      <c r="B66" s="47">
        <f>B112</f>
        <v>12.705075815230567</v>
      </c>
      <c r="C66" s="29"/>
      <c r="D66" s="48"/>
      <c r="E66" s="30"/>
    </row>
    <row r="67" spans="1:12" ht="15.6" thickBot="1" x14ac:dyDescent="0.3">
      <c r="A67" s="51"/>
      <c r="B67" s="52"/>
      <c r="C67" s="52"/>
      <c r="D67" s="52"/>
      <c r="E67" s="53"/>
    </row>
    <row r="68" spans="1:12" ht="15.6" thickTop="1" x14ac:dyDescent="0.25">
      <c r="B68" s="21"/>
      <c r="C68" s="17"/>
    </row>
    <row r="69" spans="1:12" s="74" customFormat="1" x14ac:dyDescent="0.25">
      <c r="A69" s="74" t="s">
        <v>100</v>
      </c>
      <c r="B69" s="17"/>
      <c r="C69" s="17"/>
    </row>
    <row r="70" spans="1:12" s="62" customFormat="1" ht="22.2" customHeight="1" x14ac:dyDescent="0.25">
      <c r="A70" s="60" t="s">
        <v>99</v>
      </c>
      <c r="B70" s="61"/>
      <c r="C70" s="61"/>
    </row>
    <row r="71" spans="1:12" s="62" customFormat="1" ht="22.2" customHeight="1" x14ac:dyDescent="0.25">
      <c r="A71" s="60" t="s">
        <v>60</v>
      </c>
      <c r="B71" s="61"/>
      <c r="C71" s="61"/>
    </row>
    <row r="72" spans="1:12" s="74" customFormat="1" ht="15.6" thickBot="1" x14ac:dyDescent="0.3">
      <c r="A72" s="87"/>
      <c r="B72" s="17"/>
      <c r="C72" s="17"/>
    </row>
    <row r="73" spans="1:12" s="74" customFormat="1" ht="29.4" customHeight="1" thickTop="1" x14ac:dyDescent="0.25">
      <c r="A73" s="63" t="s">
        <v>61</v>
      </c>
      <c r="B73" s="71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s="74" customFormat="1" x14ac:dyDescent="0.25">
      <c r="A74" s="74" t="s">
        <v>37</v>
      </c>
      <c r="B74" s="15" t="s">
        <v>70</v>
      </c>
      <c r="C74" s="74" t="s">
        <v>71</v>
      </c>
      <c r="D74" s="1" t="s">
        <v>7</v>
      </c>
      <c r="E74" s="1" t="s">
        <v>0</v>
      </c>
      <c r="F74" s="1" t="s">
        <v>1</v>
      </c>
      <c r="G74" s="1" t="s">
        <v>5</v>
      </c>
      <c r="H74" s="1" t="s">
        <v>6</v>
      </c>
      <c r="I74" s="1" t="s">
        <v>2</v>
      </c>
      <c r="J74" s="1" t="s">
        <v>3</v>
      </c>
      <c r="K74" s="1" t="s">
        <v>4</v>
      </c>
      <c r="L74" s="1" t="s">
        <v>15</v>
      </c>
    </row>
    <row r="75" spans="1:12" s="74" customFormat="1" x14ac:dyDescent="0.25">
      <c r="A75" s="88" t="str">
        <f>B31</f>
        <v>Corn meal</v>
      </c>
      <c r="B75" s="25">
        <f>B32</f>
        <v>4</v>
      </c>
      <c r="C75" s="20">
        <f>B75*D75/100</f>
        <v>3.56</v>
      </c>
      <c r="D75" s="17">
        <f>VLOOKUP($A75,'Feed Analysis'!$A$9:$J$23,2)</f>
        <v>89</v>
      </c>
      <c r="E75" s="17">
        <f>VLOOKUP($A75,'Feed Analysis'!$A$9:$J$23,3)</f>
        <v>9.1</v>
      </c>
      <c r="F75" s="17">
        <f>VLOOKUP($A75,'Feed Analysis'!$A$9:$J$23,4)</f>
        <v>88.1</v>
      </c>
      <c r="G75" s="17">
        <f>VLOOKUP($A75,'Feed Analysis'!$A$9:$J$23,5)</f>
        <v>10</v>
      </c>
      <c r="H75" s="17">
        <f>VLOOKUP($A75,'Feed Analysis'!$A$9:$J$23,6)</f>
        <v>3.7</v>
      </c>
      <c r="I75" s="20">
        <f>VLOOKUP($A75,'Feed Analysis'!$A$9:$J$23,7)</f>
        <v>0.04</v>
      </c>
      <c r="J75" s="20">
        <f>VLOOKUP($A75,'Feed Analysis'!$A$9:$J$23,8)</f>
        <v>0.31</v>
      </c>
      <c r="K75" s="20">
        <f>VLOOKUP($A75,'Feed Analysis'!$A$9:$J$23,9)</f>
        <v>0.12</v>
      </c>
      <c r="L75" s="20">
        <f>VLOOKUP($A75,'Feed Analysis'!$A$9:$J$23,10)</f>
        <v>0.1</v>
      </c>
    </row>
    <row r="76" spans="1:12" s="74" customFormat="1" x14ac:dyDescent="0.25">
      <c r="A76" s="88" t="str">
        <f>C31</f>
        <v>Corn gluten feed</v>
      </c>
      <c r="B76" s="25">
        <f>C32</f>
        <v>3</v>
      </c>
      <c r="C76" s="20">
        <f>B76*D76/100</f>
        <v>2.6729999999999996</v>
      </c>
      <c r="D76" s="17">
        <f>VLOOKUP($A76,'Feed Analysis'!$A$9:$J$23,2)</f>
        <v>89.1</v>
      </c>
      <c r="E76" s="17">
        <f>VLOOKUP($A76,'Feed Analysis'!$A$9:$J$23,3)</f>
        <v>23.9</v>
      </c>
      <c r="F76" s="17">
        <f>VLOOKUP($A76,'Feed Analysis'!$A$9:$J$23,4)</f>
        <v>73.3</v>
      </c>
      <c r="G76" s="17">
        <f>VLOOKUP($A76,'Feed Analysis'!$A$9:$J$23,5)</f>
        <v>35.799999999999997</v>
      </c>
      <c r="H76" s="17">
        <f>VLOOKUP($A76,'Feed Analysis'!$A$9:$J$23,6)</f>
        <v>11.4</v>
      </c>
      <c r="I76" s="20">
        <f>VLOOKUP($A76,'Feed Analysis'!$A$9:$J$23,7)</f>
        <v>0.1</v>
      </c>
      <c r="J76" s="20">
        <f>VLOOKUP($A76,'Feed Analysis'!$A$9:$J$23,8)</f>
        <v>1.05</v>
      </c>
      <c r="K76" s="20">
        <f>VLOOKUP($A76,'Feed Analysis'!$A$9:$J$23,9)</f>
        <v>0.43</v>
      </c>
      <c r="L76" s="20">
        <f>VLOOKUP($A76,'Feed Analysis'!$A$9:$J$23,10)</f>
        <v>0.5</v>
      </c>
    </row>
    <row r="77" spans="1:12" s="74" customFormat="1" x14ac:dyDescent="0.25">
      <c r="A77" s="88" t="str">
        <f>B10</f>
        <v>Back field M</v>
      </c>
      <c r="B77" s="25">
        <f>C77/(D77/100)</f>
        <v>4.2715385925098452</v>
      </c>
      <c r="C77" s="20">
        <f>C37-C75-C76</f>
        <v>3.8871001191839594</v>
      </c>
      <c r="D77" s="17">
        <f>VLOOKUP($A77,'Feed Analysis'!$A$9:$J$23,2)</f>
        <v>91</v>
      </c>
      <c r="E77" s="17">
        <f>VLOOKUP($A77,'Feed Analysis'!$A$9:$J$23,3)</f>
        <v>8.1999999999999993</v>
      </c>
      <c r="F77" s="17">
        <f>VLOOKUP($A77,'Feed Analysis'!$A$9:$J$23,4)</f>
        <v>59.5</v>
      </c>
      <c r="G77" s="17">
        <f>VLOOKUP($A77,'Feed Analysis'!$A$9:$J$23,5)</f>
        <v>61.8</v>
      </c>
      <c r="H77" s="17">
        <f>VLOOKUP($A77,'Feed Analysis'!$A$9:$J$23,6)</f>
        <v>40.5</v>
      </c>
      <c r="I77" s="20">
        <f>VLOOKUP($A77,'Feed Analysis'!$A$9:$J$23,7)</f>
        <v>0.55000000000000004</v>
      </c>
      <c r="J77" s="20">
        <f>VLOOKUP($A77,'Feed Analysis'!$A$9:$J$23,8)</f>
        <v>0.2</v>
      </c>
      <c r="K77" s="20">
        <f>VLOOKUP($A77,'Feed Analysis'!$A$9:$J$23,9)</f>
        <v>0.15</v>
      </c>
      <c r="L77" s="20">
        <f>VLOOKUP($A77,'Feed Analysis'!$A$9:$J$23,10)</f>
        <v>0.125</v>
      </c>
    </row>
    <row r="78" spans="1:12" s="15" customFormat="1" x14ac:dyDescent="0.25">
      <c r="A78" s="15" t="s">
        <v>72</v>
      </c>
      <c r="B78" s="17">
        <f>SUM(B75:B77)</f>
        <v>11.271538592509845</v>
      </c>
      <c r="C78" s="17">
        <f>SUM(C75:C77)</f>
        <v>10.120100119183959</v>
      </c>
      <c r="D78" s="17">
        <f>($C75*D75+$C76*D76+$C77*D77)/$C78</f>
        <v>89.794606786856207</v>
      </c>
      <c r="E78" s="17">
        <f t="shared" ref="E78:L78" si="3">($C75*E75+$C76*E76+$C77*E77)/$C78</f>
        <v>12.663404459247811</v>
      </c>
      <c r="F78" s="17">
        <f t="shared" si="3"/>
        <v>73.205733971650119</v>
      </c>
      <c r="G78" s="17">
        <f t="shared" si="3"/>
        <v>36.710722521540241</v>
      </c>
      <c r="H78" s="17">
        <f t="shared" si="3"/>
        <v>19.868553913393878</v>
      </c>
      <c r="I78" s="20">
        <f t="shared" si="3"/>
        <v>0.25173714049744061</v>
      </c>
      <c r="J78" s="20">
        <f t="shared" si="3"/>
        <v>0.4632039178101317</v>
      </c>
      <c r="K78" s="20">
        <f t="shared" si="3"/>
        <v>0.21340253480137894</v>
      </c>
      <c r="L78" s="20">
        <f t="shared" si="3"/>
        <v>0.21525355374385866</v>
      </c>
    </row>
    <row r="79" spans="1:12" s="15" customFormat="1" x14ac:dyDescent="0.25">
      <c r="D79" s="20"/>
      <c r="E79" s="20"/>
      <c r="F79" s="20"/>
      <c r="G79" s="20"/>
      <c r="H79" s="20"/>
      <c r="I79" s="20"/>
      <c r="J79" s="20"/>
      <c r="K79" s="20"/>
      <c r="L79" s="20"/>
    </row>
    <row r="80" spans="1:12" s="74" customFormat="1" x14ac:dyDescent="0.25">
      <c r="A80" s="74" t="s">
        <v>73</v>
      </c>
      <c r="B80" s="89">
        <f>-6.8+1.55*G78-0.0079*G78^2</f>
        <v>39.454970438764555</v>
      </c>
    </row>
    <row r="81" spans="1:12" s="74" customFormat="1" x14ac:dyDescent="0.25">
      <c r="A81" s="74" t="s">
        <v>74</v>
      </c>
      <c r="B81" s="20">
        <f>((B$6/2.2)^0.75*B80/1000/(B$6/2.2))/(G78/100)*100*B$6/100</f>
        <v>13.840187177162658</v>
      </c>
    </row>
    <row r="82" spans="1:12" s="74" customFormat="1" x14ac:dyDescent="0.25">
      <c r="A82" s="74" t="s">
        <v>38</v>
      </c>
      <c r="B82" s="20">
        <f>E78/F78</f>
        <v>0.17298377834927359</v>
      </c>
    </row>
    <row r="83" spans="1:12" s="74" customFormat="1" x14ac:dyDescent="0.25">
      <c r="A83" s="74" t="s">
        <v>39</v>
      </c>
      <c r="B83" s="26">
        <f>IF(B82&lt;0.2,-0.84+30.9*B82-71.3*B82^2,2.5)/2.5</f>
        <v>0.94866448684384908</v>
      </c>
    </row>
    <row r="84" spans="1:12" s="74" customFormat="1" x14ac:dyDescent="0.25">
      <c r="A84" s="74" t="s">
        <v>103</v>
      </c>
      <c r="B84" s="20">
        <f>B81*B83</f>
        <v>13.129694066245833</v>
      </c>
    </row>
    <row r="85" spans="1:12" s="74" customFormat="1" ht="15.6" thickBot="1" x14ac:dyDescent="0.3">
      <c r="B85" s="17"/>
    </row>
    <row r="86" spans="1:12" s="74" customFormat="1" ht="30" customHeight="1" thickTop="1" x14ac:dyDescent="0.25">
      <c r="A86" s="63" t="s">
        <v>62</v>
      </c>
      <c r="B86" s="71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s="74" customFormat="1" x14ac:dyDescent="0.25">
      <c r="A87" s="74" t="s">
        <v>37</v>
      </c>
      <c r="B87" s="15" t="s">
        <v>70</v>
      </c>
      <c r="C87" s="74" t="s">
        <v>71</v>
      </c>
      <c r="D87" s="1" t="s">
        <v>7</v>
      </c>
      <c r="E87" s="1" t="s">
        <v>0</v>
      </c>
      <c r="F87" s="1" t="s">
        <v>1</v>
      </c>
      <c r="G87" s="1" t="s">
        <v>5</v>
      </c>
      <c r="H87" s="1" t="s">
        <v>6</v>
      </c>
      <c r="I87" s="1" t="s">
        <v>2</v>
      </c>
      <c r="J87" s="1" t="s">
        <v>3</v>
      </c>
      <c r="K87" s="1" t="s">
        <v>4</v>
      </c>
      <c r="L87" s="1" t="s">
        <v>15</v>
      </c>
    </row>
    <row r="88" spans="1:12" s="74" customFormat="1" x14ac:dyDescent="0.25">
      <c r="A88" s="88" t="str">
        <f>B31</f>
        <v>Corn meal</v>
      </c>
      <c r="B88" s="25">
        <f>B32</f>
        <v>4</v>
      </c>
      <c r="C88" s="20">
        <f>C75</f>
        <v>3.56</v>
      </c>
      <c r="D88" s="20">
        <f>D75</f>
        <v>89</v>
      </c>
      <c r="E88" s="20">
        <f t="shared" ref="E88:L88" si="4">E75</f>
        <v>9.1</v>
      </c>
      <c r="F88" s="20">
        <f t="shared" si="4"/>
        <v>88.1</v>
      </c>
      <c r="G88" s="20">
        <f t="shared" si="4"/>
        <v>10</v>
      </c>
      <c r="H88" s="20">
        <f t="shared" si="4"/>
        <v>3.7</v>
      </c>
      <c r="I88" s="20">
        <f t="shared" si="4"/>
        <v>0.04</v>
      </c>
      <c r="J88" s="20">
        <f t="shared" si="4"/>
        <v>0.31</v>
      </c>
      <c r="K88" s="20">
        <f t="shared" si="4"/>
        <v>0.12</v>
      </c>
      <c r="L88" s="20">
        <f t="shared" si="4"/>
        <v>0.1</v>
      </c>
    </row>
    <row r="89" spans="1:12" s="74" customFormat="1" x14ac:dyDescent="0.25">
      <c r="A89" s="88" t="str">
        <f>C31</f>
        <v>Corn gluten feed</v>
      </c>
      <c r="B89" s="25">
        <f>C32</f>
        <v>3</v>
      </c>
      <c r="C89" s="20">
        <f>C76</f>
        <v>2.6729999999999996</v>
      </c>
      <c r="D89" s="20">
        <f>D76</f>
        <v>89.1</v>
      </c>
      <c r="E89" s="20">
        <f t="shared" ref="E89:L90" si="5">E76</f>
        <v>23.9</v>
      </c>
      <c r="F89" s="20">
        <f t="shared" si="5"/>
        <v>73.3</v>
      </c>
      <c r="G89" s="20">
        <f t="shared" si="5"/>
        <v>35.799999999999997</v>
      </c>
      <c r="H89" s="20">
        <f t="shared" si="5"/>
        <v>11.4</v>
      </c>
      <c r="I89" s="20">
        <f t="shared" si="5"/>
        <v>0.1</v>
      </c>
      <c r="J89" s="20">
        <f t="shared" si="5"/>
        <v>1.05</v>
      </c>
      <c r="K89" s="20">
        <f t="shared" si="5"/>
        <v>0.43</v>
      </c>
      <c r="L89" s="20">
        <f t="shared" si="5"/>
        <v>0.5</v>
      </c>
    </row>
    <row r="90" spans="1:12" s="74" customFormat="1" x14ac:dyDescent="0.25">
      <c r="A90" s="88" t="str">
        <f>B10</f>
        <v>Back field M</v>
      </c>
      <c r="B90" s="25">
        <f>C90/(D90/100)</f>
        <v>7.5787846881822327</v>
      </c>
      <c r="C90" s="17">
        <f>C92-C88-C89</f>
        <v>6.896694066245832</v>
      </c>
      <c r="D90" s="20">
        <f>D77</f>
        <v>91</v>
      </c>
      <c r="E90" s="20">
        <f t="shared" si="5"/>
        <v>8.1999999999999993</v>
      </c>
      <c r="F90" s="20">
        <f t="shared" si="5"/>
        <v>59.5</v>
      </c>
      <c r="G90" s="20">
        <f t="shared" si="5"/>
        <v>61.8</v>
      </c>
      <c r="H90" s="20">
        <f t="shared" si="5"/>
        <v>40.5</v>
      </c>
      <c r="I90" s="20">
        <f t="shared" si="5"/>
        <v>0.55000000000000004</v>
      </c>
      <c r="J90" s="20">
        <f t="shared" si="5"/>
        <v>0.2</v>
      </c>
      <c r="K90" s="20">
        <f t="shared" si="5"/>
        <v>0.15</v>
      </c>
      <c r="L90" s="20">
        <f t="shared" si="5"/>
        <v>0.125</v>
      </c>
    </row>
    <row r="91" spans="1:12" s="74" customFormat="1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74" customFormat="1" x14ac:dyDescent="0.25">
      <c r="A92" s="74" t="s">
        <v>75</v>
      </c>
      <c r="B92" s="17">
        <f>SUM(B88:B90)</f>
        <v>14.578784688182232</v>
      </c>
      <c r="C92" s="17">
        <f>B84</f>
        <v>13.129694066245833</v>
      </c>
      <c r="D92" s="20">
        <f t="shared" ref="D92:L92" si="6">($C88*D88+$C89*D89+$C90*D90)/$C92</f>
        <v>90.070907521648891</v>
      </c>
      <c r="E92" s="20">
        <f t="shared" si="6"/>
        <v>11.640301028500311</v>
      </c>
      <c r="F92" s="20">
        <f t="shared" si="6"/>
        <v>70.064099917345544</v>
      </c>
      <c r="G92" s="20">
        <f t="shared" si="6"/>
        <v>42.461697163778673</v>
      </c>
      <c r="H92" s="20">
        <f t="shared" si="6"/>
        <v>24.597702585716082</v>
      </c>
      <c r="I92" s="20">
        <f t="shared" si="6"/>
        <v>0.32010507748539913</v>
      </c>
      <c r="J92" s="20">
        <f t="shared" si="6"/>
        <v>0.40287220605145568</v>
      </c>
      <c r="K92" s="20">
        <f t="shared" si="6"/>
        <v>0.19886937934445442</v>
      </c>
      <c r="L92" s="20">
        <f t="shared" si="6"/>
        <v>0.19456559653191985</v>
      </c>
    </row>
    <row r="93" spans="1:12" s="74" customFormat="1" x14ac:dyDescent="0.25">
      <c r="B93" s="15"/>
    </row>
    <row r="94" spans="1:12" s="74" customFormat="1" x14ac:dyDescent="0.25">
      <c r="A94" s="74" t="s">
        <v>73</v>
      </c>
      <c r="B94" s="89">
        <f>-6.8+1.55*G92-0.0079*G92^2</f>
        <v>44.77196436823219</v>
      </c>
    </row>
    <row r="95" spans="1:12" s="74" customFormat="1" x14ac:dyDescent="0.25">
      <c r="A95" s="74" t="s">
        <v>74</v>
      </c>
      <c r="B95" s="20">
        <f>((B$6/2.2)^0.75*B94/1000/(B$6/2.2))/(G92/100)*100*B$6/100</f>
        <v>13.578192901982503</v>
      </c>
    </row>
    <row r="96" spans="1:12" s="74" customFormat="1" x14ac:dyDescent="0.25">
      <c r="A96" s="74" t="s">
        <v>38</v>
      </c>
      <c r="B96" s="20">
        <f>E92/F92</f>
        <v>0.16613788005886534</v>
      </c>
    </row>
    <row r="97" spans="1:12" s="74" customFormat="1" x14ac:dyDescent="0.25">
      <c r="A97" s="74" t="s">
        <v>39</v>
      </c>
      <c r="B97" s="26">
        <f>IF(B96&lt;0.2,-0.84+30.9*B96-71.3*B96^2,2.5)/2.5</f>
        <v>0.93026099869582946</v>
      </c>
    </row>
    <row r="98" spans="1:12" s="74" customFormat="1" x14ac:dyDescent="0.25">
      <c r="A98" s="74" t="s">
        <v>40</v>
      </c>
      <c r="B98" s="20">
        <f>B95*B97</f>
        <v>12.631263289482865</v>
      </c>
    </row>
    <row r="99" spans="1:12" s="74" customFormat="1" ht="15.6" thickBot="1" x14ac:dyDescent="0.3">
      <c r="B99" s="15"/>
    </row>
    <row r="100" spans="1:12" s="74" customFormat="1" ht="30" customHeight="1" thickTop="1" x14ac:dyDescent="0.25">
      <c r="A100" s="63" t="s">
        <v>63</v>
      </c>
      <c r="B100" s="71"/>
      <c r="C100" s="50"/>
      <c r="D100" s="50"/>
      <c r="E100" s="50"/>
      <c r="F100" s="50"/>
      <c r="G100" s="50"/>
      <c r="H100" s="50"/>
      <c r="I100" s="50"/>
      <c r="J100" s="50"/>
      <c r="K100" s="50"/>
      <c r="L100" s="50"/>
    </row>
    <row r="101" spans="1:12" s="74" customFormat="1" x14ac:dyDescent="0.25">
      <c r="A101" s="74" t="s">
        <v>37</v>
      </c>
      <c r="B101" s="15" t="s">
        <v>70</v>
      </c>
      <c r="C101" s="74" t="s">
        <v>71</v>
      </c>
      <c r="D101" s="1" t="s">
        <v>7</v>
      </c>
      <c r="E101" s="1" t="s">
        <v>0</v>
      </c>
      <c r="F101" s="1" t="s">
        <v>1</v>
      </c>
      <c r="G101" s="1" t="s">
        <v>5</v>
      </c>
      <c r="H101" s="1" t="s">
        <v>6</v>
      </c>
      <c r="I101" s="1" t="s">
        <v>2</v>
      </c>
      <c r="J101" s="1" t="s">
        <v>3</v>
      </c>
      <c r="K101" s="1" t="s">
        <v>4</v>
      </c>
      <c r="L101" s="1" t="s">
        <v>15</v>
      </c>
    </row>
    <row r="102" spans="1:12" s="74" customFormat="1" x14ac:dyDescent="0.25">
      <c r="A102" s="88" t="str">
        <f>B31</f>
        <v>Corn meal</v>
      </c>
      <c r="B102" s="25">
        <f>B32</f>
        <v>4</v>
      </c>
      <c r="C102" s="20">
        <f>C75</f>
        <v>3.56</v>
      </c>
      <c r="D102" s="20">
        <f t="shared" ref="D102:L102" si="7">D75</f>
        <v>89</v>
      </c>
      <c r="E102" s="20">
        <f t="shared" si="7"/>
        <v>9.1</v>
      </c>
      <c r="F102" s="20">
        <f t="shared" si="7"/>
        <v>88.1</v>
      </c>
      <c r="G102" s="20">
        <f t="shared" si="7"/>
        <v>10</v>
      </c>
      <c r="H102" s="20">
        <f t="shared" si="7"/>
        <v>3.7</v>
      </c>
      <c r="I102" s="20">
        <f t="shared" si="7"/>
        <v>0.04</v>
      </c>
      <c r="J102" s="20">
        <f t="shared" si="7"/>
        <v>0.31</v>
      </c>
      <c r="K102" s="20">
        <f t="shared" si="7"/>
        <v>0.12</v>
      </c>
      <c r="L102" s="20">
        <f t="shared" si="7"/>
        <v>0.1</v>
      </c>
    </row>
    <row r="103" spans="1:12" s="74" customFormat="1" x14ac:dyDescent="0.25">
      <c r="A103" s="88" t="str">
        <f>C31</f>
        <v>Corn gluten feed</v>
      </c>
      <c r="B103" s="25">
        <f>C32</f>
        <v>3</v>
      </c>
      <c r="C103" s="20">
        <f>C76</f>
        <v>2.6729999999999996</v>
      </c>
      <c r="D103" s="20">
        <f t="shared" ref="D103:L103" si="8">D76</f>
        <v>89.1</v>
      </c>
      <c r="E103" s="20">
        <f t="shared" si="8"/>
        <v>23.9</v>
      </c>
      <c r="F103" s="20">
        <f t="shared" si="8"/>
        <v>73.3</v>
      </c>
      <c r="G103" s="20">
        <f t="shared" si="8"/>
        <v>35.799999999999997</v>
      </c>
      <c r="H103" s="20">
        <f t="shared" si="8"/>
        <v>11.4</v>
      </c>
      <c r="I103" s="20">
        <f t="shared" si="8"/>
        <v>0.1</v>
      </c>
      <c r="J103" s="20">
        <f t="shared" si="8"/>
        <v>1.05</v>
      </c>
      <c r="K103" s="20">
        <f t="shared" si="8"/>
        <v>0.43</v>
      </c>
      <c r="L103" s="20">
        <f t="shared" si="8"/>
        <v>0.5</v>
      </c>
    </row>
    <row r="104" spans="1:12" s="74" customFormat="1" x14ac:dyDescent="0.25">
      <c r="A104" s="88" t="str">
        <f>B10</f>
        <v>Back field M</v>
      </c>
      <c r="B104" s="25">
        <f>C104/(D104/100)</f>
        <v>7.0310585598712789</v>
      </c>
      <c r="C104" s="17">
        <f>C106-C103-C102</f>
        <v>6.3982632894828644</v>
      </c>
      <c r="D104" s="20">
        <f t="shared" ref="D104:L104" si="9">D77</f>
        <v>91</v>
      </c>
      <c r="E104" s="20">
        <f t="shared" si="9"/>
        <v>8.1999999999999993</v>
      </c>
      <c r="F104" s="20">
        <f t="shared" si="9"/>
        <v>59.5</v>
      </c>
      <c r="G104" s="20">
        <f t="shared" si="9"/>
        <v>61.8</v>
      </c>
      <c r="H104" s="20">
        <f t="shared" si="9"/>
        <v>40.5</v>
      </c>
      <c r="I104" s="20">
        <f t="shared" si="9"/>
        <v>0.55000000000000004</v>
      </c>
      <c r="J104" s="20">
        <f t="shared" si="9"/>
        <v>0.2</v>
      </c>
      <c r="K104" s="20">
        <f t="shared" si="9"/>
        <v>0.15</v>
      </c>
      <c r="L104" s="20">
        <f t="shared" si="9"/>
        <v>0.125</v>
      </c>
    </row>
    <row r="105" spans="1:12" s="74" customFormat="1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s="74" customFormat="1" x14ac:dyDescent="0.25">
      <c r="A106" s="74" t="s">
        <v>76</v>
      </c>
      <c r="B106" s="17">
        <f>SUM(B102:B104)</f>
        <v>14.03105855987128</v>
      </c>
      <c r="C106" s="17">
        <f>B98</f>
        <v>12.631263289482865</v>
      </c>
      <c r="D106" s="20">
        <f t="shared" ref="D106:L106" si="10">($C102*D102+$C103*D103+$C104*D104)/$C106</f>
        <v>90.034245449530189</v>
      </c>
      <c r="E106" s="20">
        <f t="shared" si="10"/>
        <v>11.776055614137174</v>
      </c>
      <c r="F106" s="20">
        <f t="shared" si="10"/>
        <v>70.480960242946423</v>
      </c>
      <c r="G106" s="20">
        <f t="shared" si="10"/>
        <v>41.698606007887655</v>
      </c>
      <c r="H106" s="20">
        <f t="shared" si="10"/>
        <v>23.970196510443561</v>
      </c>
      <c r="I106" s="20">
        <f t="shared" si="10"/>
        <v>0.31103340332449214</v>
      </c>
      <c r="J106" s="20">
        <f t="shared" si="10"/>
        <v>0.41087756140890735</v>
      </c>
      <c r="K106" s="20">
        <f t="shared" si="10"/>
        <v>0.20079776941505501</v>
      </c>
      <c r="L106" s="20">
        <f t="shared" si="10"/>
        <v>0.19731066117990753</v>
      </c>
    </row>
    <row r="107" spans="1:12" s="74" customFormat="1" x14ac:dyDescent="0.25">
      <c r="B107" s="15"/>
    </row>
    <row r="108" spans="1:12" s="74" customFormat="1" x14ac:dyDescent="0.25">
      <c r="A108" s="74" t="s">
        <v>73</v>
      </c>
      <c r="B108" s="89">
        <f>-6.8+1.55*G106-0.0079*G106^2</f>
        <v>44.096526742517618</v>
      </c>
    </row>
    <row r="109" spans="1:12" s="74" customFormat="1" x14ac:dyDescent="0.25">
      <c r="A109" s="74" t="s">
        <v>74</v>
      </c>
      <c r="B109" s="20">
        <f>((B$6/2.2)^0.75*B108/1000/(B$6/2.2))/(G106/100)*100*B$6/100</f>
        <v>13.618084368570933</v>
      </c>
    </row>
    <row r="110" spans="1:12" s="74" customFormat="1" x14ac:dyDescent="0.25">
      <c r="A110" s="74" t="s">
        <v>38</v>
      </c>
      <c r="B110" s="20">
        <f>E106/F106</f>
        <v>0.1670813730906241</v>
      </c>
    </row>
    <row r="111" spans="1:12" s="74" customFormat="1" x14ac:dyDescent="0.25">
      <c r="A111" s="74" t="s">
        <v>39</v>
      </c>
      <c r="B111" s="26">
        <f>IF(B110&lt;0.2,-0.84+30.9*B110-71.3*B110^2,2.5)/2.5</f>
        <v>0.93295616853075958</v>
      </c>
    </row>
    <row r="112" spans="1:12" s="74" customFormat="1" ht="30" x14ac:dyDescent="0.25">
      <c r="A112" s="74" t="s">
        <v>41</v>
      </c>
      <c r="B112" s="20">
        <f>B109*B111</f>
        <v>12.705075815230567</v>
      </c>
    </row>
    <row r="113" spans="1:7" s="74" customFormat="1" x14ac:dyDescent="0.25">
      <c r="B113" s="90"/>
      <c r="G113" s="90"/>
    </row>
    <row r="114" spans="1:7" x14ac:dyDescent="0.25">
      <c r="B114" s="13"/>
    </row>
    <row r="115" spans="1:7" x14ac:dyDescent="0.25">
      <c r="B115" s="13"/>
    </row>
    <row r="116" spans="1:7" x14ac:dyDescent="0.25">
      <c r="A116" s="67"/>
      <c r="B116" s="13"/>
    </row>
    <row r="117" spans="1:7" x14ac:dyDescent="0.25">
      <c r="B117" s="13"/>
    </row>
    <row r="118" spans="1:7" x14ac:dyDescent="0.25">
      <c r="B118" s="13"/>
    </row>
    <row r="119" spans="1:7" x14ac:dyDescent="0.25">
      <c r="B119" s="13"/>
    </row>
    <row r="120" spans="1:7" x14ac:dyDescent="0.25">
      <c r="B120" s="13"/>
    </row>
    <row r="121" spans="1:7" x14ac:dyDescent="0.25">
      <c r="B121" s="13"/>
    </row>
  </sheetData>
  <sortState ref="F23:O28">
    <sortCondition ref="F23:F28"/>
  </sortState>
  <mergeCells count="6">
    <mergeCell ref="A46:E46"/>
    <mergeCell ref="A56:B56"/>
    <mergeCell ref="A1:C1"/>
    <mergeCell ref="A11:B11"/>
    <mergeCell ref="A22:B22"/>
    <mergeCell ref="A9:B9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'Feed Analysis'!$A$9:$A$23</xm:f>
          </x14:formula1>
          <xm:sqref>B10 B31:C31</xm:sqref>
        </x14:dataValidation>
        <x14:dataValidation type="list" allowBlank="1" showInputMessage="1" showErrorMessage="1">
          <x14:formula1>
            <xm:f>'Nutrient Requirements'!$A$5:$A$15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6" sqref="B16"/>
    </sheetView>
  </sheetViews>
  <sheetFormatPr defaultRowHeight="15" x14ac:dyDescent="0.25"/>
  <cols>
    <col min="1" max="1" width="30.6328125" customWidth="1"/>
    <col min="2" max="2" width="8.7265625" customWidth="1"/>
  </cols>
  <sheetData>
    <row r="1" spans="1:8" x14ac:dyDescent="0.25">
      <c r="A1" t="s">
        <v>80</v>
      </c>
    </row>
    <row r="2" spans="1:8" x14ac:dyDescent="0.25">
      <c r="A2" t="s">
        <v>81</v>
      </c>
    </row>
    <row r="4" spans="1:8" s="73" customFormat="1" ht="30" x14ac:dyDescent="0.25">
      <c r="A4" s="73" t="s">
        <v>22</v>
      </c>
      <c r="B4" s="15" t="s">
        <v>97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15</v>
      </c>
    </row>
    <row r="5" spans="1:8" x14ac:dyDescent="0.25">
      <c r="A5" s="2" t="s">
        <v>17</v>
      </c>
      <c r="B5" s="3">
        <v>1.7</v>
      </c>
      <c r="C5" s="3">
        <v>7</v>
      </c>
      <c r="D5" s="10">
        <v>49</v>
      </c>
      <c r="E5" s="4">
        <v>0.19</v>
      </c>
      <c r="F5" s="4">
        <v>0.19</v>
      </c>
      <c r="G5" s="4">
        <v>0.12</v>
      </c>
      <c r="H5" s="4">
        <v>0.15</v>
      </c>
    </row>
    <row r="6" spans="1:8" x14ac:dyDescent="0.25">
      <c r="A6" s="5" t="s">
        <v>18</v>
      </c>
      <c r="B6" s="6">
        <v>1.8</v>
      </c>
      <c r="C6" s="6">
        <v>7</v>
      </c>
      <c r="D6" s="11">
        <v>49</v>
      </c>
      <c r="E6" s="7">
        <v>0.19</v>
      </c>
      <c r="F6" s="7">
        <v>0.19</v>
      </c>
      <c r="G6" s="7">
        <v>0.12</v>
      </c>
      <c r="H6" s="7">
        <v>0.15</v>
      </c>
    </row>
    <row r="7" spans="1:8" x14ac:dyDescent="0.25">
      <c r="A7" s="5" t="s">
        <v>19</v>
      </c>
      <c r="B7" s="6">
        <v>1.9</v>
      </c>
      <c r="C7" s="6">
        <v>7.8</v>
      </c>
      <c r="D7" s="11">
        <v>53</v>
      </c>
      <c r="E7" s="7">
        <v>0.26</v>
      </c>
      <c r="F7" s="7">
        <v>0.21</v>
      </c>
      <c r="G7" s="7">
        <v>0.12</v>
      </c>
      <c r="H7" s="7">
        <v>0.15</v>
      </c>
    </row>
    <row r="8" spans="1:8" x14ac:dyDescent="0.25">
      <c r="A8" s="5" t="s">
        <v>20</v>
      </c>
      <c r="B8" s="6">
        <v>2</v>
      </c>
      <c r="C8" s="6">
        <v>9.3000000000000007</v>
      </c>
      <c r="D8" s="11">
        <v>56</v>
      </c>
      <c r="E8" s="7">
        <v>0.27</v>
      </c>
      <c r="F8" s="7">
        <v>0.22</v>
      </c>
      <c r="G8" s="7">
        <v>0.2</v>
      </c>
      <c r="H8" s="7">
        <v>0.15</v>
      </c>
    </row>
    <row r="9" spans="1:8" x14ac:dyDescent="0.25">
      <c r="A9" s="5" t="s">
        <v>21</v>
      </c>
      <c r="B9" s="6">
        <v>2.1</v>
      </c>
      <c r="C9" s="6">
        <v>11.5</v>
      </c>
      <c r="D9" s="11">
        <v>64</v>
      </c>
      <c r="E9" s="7">
        <v>0.36</v>
      </c>
      <c r="F9" s="7">
        <v>0.26</v>
      </c>
      <c r="G9" s="7">
        <v>0.2</v>
      </c>
      <c r="H9" s="7">
        <v>0.15</v>
      </c>
    </row>
    <row r="10" spans="1:8" x14ac:dyDescent="0.25">
      <c r="A10" s="5" t="s">
        <v>79</v>
      </c>
      <c r="B10" s="6">
        <v>2.1</v>
      </c>
      <c r="C10" s="6">
        <v>9</v>
      </c>
      <c r="D10" s="11">
        <v>60</v>
      </c>
      <c r="E10" s="7">
        <v>0.32</v>
      </c>
      <c r="F10" s="7">
        <v>0.21</v>
      </c>
      <c r="G10" s="7">
        <v>0.12</v>
      </c>
      <c r="H10" s="7">
        <v>0.15</v>
      </c>
    </row>
    <row r="11" spans="1:8" x14ac:dyDescent="0.25">
      <c r="A11" s="5" t="s">
        <v>78</v>
      </c>
      <c r="B11" s="6">
        <v>2.1</v>
      </c>
      <c r="C11" s="6">
        <v>10.5</v>
      </c>
      <c r="D11" s="11">
        <v>62</v>
      </c>
      <c r="E11" s="7">
        <v>0.31</v>
      </c>
      <c r="F11" s="7">
        <v>0.23</v>
      </c>
      <c r="G11" s="7">
        <v>0.2</v>
      </c>
      <c r="H11" s="7">
        <v>0.15</v>
      </c>
    </row>
    <row r="12" spans="1:8" x14ac:dyDescent="0.25">
      <c r="A12" s="75" t="s">
        <v>86</v>
      </c>
      <c r="B12" s="6">
        <f>11.5/5</f>
        <v>2.2999999999999998</v>
      </c>
      <c r="C12" s="6">
        <v>8.5</v>
      </c>
      <c r="D12" s="11">
        <v>54</v>
      </c>
      <c r="E12" s="7">
        <v>0.25</v>
      </c>
      <c r="F12" s="7">
        <v>0.17</v>
      </c>
      <c r="G12" s="7">
        <v>0.1</v>
      </c>
      <c r="H12" s="7">
        <v>0.15</v>
      </c>
    </row>
    <row r="13" spans="1:8" x14ac:dyDescent="0.25">
      <c r="A13" s="75" t="s">
        <v>87</v>
      </c>
      <c r="B13" s="6">
        <f>12.3/5</f>
        <v>2.46</v>
      </c>
      <c r="C13" s="6">
        <v>9.5</v>
      </c>
      <c r="D13" s="11">
        <v>59</v>
      </c>
      <c r="E13" s="7">
        <v>0.32</v>
      </c>
      <c r="F13" s="7">
        <v>0.2</v>
      </c>
      <c r="G13" s="7">
        <v>0.1</v>
      </c>
      <c r="H13" s="7">
        <v>0.15</v>
      </c>
    </row>
    <row r="14" spans="1:8" x14ac:dyDescent="0.25">
      <c r="A14" s="75" t="s">
        <v>88</v>
      </c>
      <c r="B14" s="6">
        <f>12.8/5</f>
        <v>2.56</v>
      </c>
      <c r="C14" s="6">
        <v>10.5</v>
      </c>
      <c r="D14" s="11">
        <v>63</v>
      </c>
      <c r="E14" s="7">
        <v>0.4</v>
      </c>
      <c r="F14" s="7">
        <v>0.22</v>
      </c>
      <c r="G14" s="7">
        <v>0.1</v>
      </c>
      <c r="H14" s="7">
        <v>0.15</v>
      </c>
    </row>
    <row r="15" spans="1:8" x14ac:dyDescent="0.25">
      <c r="A15" s="76" t="s">
        <v>89</v>
      </c>
      <c r="B15" s="8">
        <f>13.1/5</f>
        <v>2.62</v>
      </c>
      <c r="C15" s="8">
        <v>11.4</v>
      </c>
      <c r="D15" s="12">
        <v>68</v>
      </c>
      <c r="E15" s="9">
        <v>0.47</v>
      </c>
      <c r="F15" s="9">
        <v>0.24</v>
      </c>
      <c r="G15" s="9">
        <v>0.1</v>
      </c>
      <c r="H15" s="9">
        <v>0.15</v>
      </c>
    </row>
  </sheetData>
  <sortState ref="A5:H15">
    <sortCondition ref="A5:A15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Feed Analysis</vt:lpstr>
      <vt:lpstr>Balance the Ration</vt:lpstr>
      <vt:lpstr>Nutrient Requirements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Barrow Rayburn</dc:creator>
  <cp:lastModifiedBy>Edward Barrow Rayburn</cp:lastModifiedBy>
  <dcterms:created xsi:type="dcterms:W3CDTF">2012-10-05T12:03:52Z</dcterms:created>
  <dcterms:modified xsi:type="dcterms:W3CDTF">2013-08-06T16:38:22Z</dcterms:modified>
</cp:coreProperties>
</file>